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jmdelta.just.sise/dhs/webdav/400fd881150ad71719044f141eda1b85fd975d9c/47902190330/be6618b1-830a-4b30-b775-b3cfa034aebf/"/>
    </mc:Choice>
  </mc:AlternateContent>
  <xr:revisionPtr revIDLastSave="0" documentId="13_ncr:1_{2DCAF249-F950-43D7-A1D9-0B6B384EDEAA}" xr6:coauthVersionLast="47" xr6:coauthVersionMax="47" xr10:uidLastSave="{00000000-0000-0000-0000-000000000000}"/>
  <bookViews>
    <workbookView xWindow="-110" yWindow="-110" windowWidth="25820" windowHeight="13900" activeTab="1" xr2:uid="{D7055697-5D78-47BA-ACFD-534D934F8AD0}"/>
  </bookViews>
  <sheets>
    <sheet name="2026 KEHTIV" sheetId="10" r:id="rId1"/>
    <sheet name="2025 III KEHTIV" sheetId="9" r:id="rId2"/>
    <sheet name="2025 II" sheetId="8" r:id="rId3"/>
    <sheet name="2025 I" sheetId="2" r:id="rId4"/>
    <sheet name="2024" sheetId="3" r:id="rId5"/>
    <sheet name="2023" sheetId="4" r:id="rId6"/>
  </sheets>
  <definedNames>
    <definedName name="_xlnm._FilterDatabase" localSheetId="3" hidden="1">'2025 I'!$A$1:$V$123</definedName>
    <definedName name="_xlnm._FilterDatabase" localSheetId="2" hidden="1">'2025 II'!$A$3:$AG$103</definedName>
    <definedName name="_xlnm._FilterDatabase" localSheetId="1" hidden="1">'2025 III KEHTIV'!$A$3:$AG$107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1" i="9" l="1"/>
  <c r="G91" i="9" s="1"/>
  <c r="J91" i="9"/>
  <c r="H91" i="9"/>
  <c r="F91" i="9"/>
  <c r="F90" i="9"/>
  <c r="G90" i="9"/>
  <c r="H90" i="9"/>
  <c r="J51" i="9"/>
  <c r="H51" i="9"/>
  <c r="I27" i="10" l="1"/>
  <c r="I5" i="10" l="1"/>
  <c r="I57" i="10" l="1"/>
  <c r="G57" i="10"/>
  <c r="H57" i="10"/>
  <c r="F57" i="10"/>
  <c r="K89" i="9"/>
  <c r="H89" i="9" s="1"/>
  <c r="G89" i="9" s="1"/>
  <c r="F89" i="9" s="1"/>
  <c r="K88" i="9"/>
  <c r="H88" i="9" s="1"/>
  <c r="G88" i="9" s="1"/>
  <c r="F88" i="9" s="1"/>
  <c r="K87" i="9"/>
  <c r="H87" i="9" s="1"/>
  <c r="N95" i="9"/>
  <c r="AD91" i="9"/>
  <c r="AC91" i="9"/>
  <c r="AB91" i="9"/>
  <c r="Z91" i="9"/>
  <c r="Y91" i="9"/>
  <c r="X91" i="9"/>
  <c r="V91" i="9"/>
  <c r="T91" i="9"/>
  <c r="R91" i="9"/>
  <c r="Q91" i="9"/>
  <c r="O91" i="9"/>
  <c r="K91" i="9"/>
  <c r="I86" i="9"/>
  <c r="G86" i="9" s="1"/>
  <c r="N85" i="9"/>
  <c r="H85" i="9" s="1"/>
  <c r="G85" i="9" s="1"/>
  <c r="P84" i="9"/>
  <c r="J84" i="9" s="1"/>
  <c r="G83" i="9"/>
  <c r="U82" i="9"/>
  <c r="G82" i="9"/>
  <c r="G81" i="9"/>
  <c r="G80" i="9"/>
  <c r="G79" i="9"/>
  <c r="G78" i="9"/>
  <c r="G77" i="9"/>
  <c r="G76" i="9"/>
  <c r="G75" i="9"/>
  <c r="G74" i="9"/>
  <c r="G73" i="9"/>
  <c r="G72" i="9"/>
  <c r="G71" i="9"/>
  <c r="F71" i="9"/>
  <c r="F68" i="9"/>
  <c r="G65" i="9"/>
  <c r="G64" i="9"/>
  <c r="G63" i="9"/>
  <c r="G62" i="9"/>
  <c r="M61" i="9"/>
  <c r="J61" i="9" s="1"/>
  <c r="G61" i="9" s="1"/>
  <c r="F61" i="9"/>
  <c r="G60" i="9"/>
  <c r="U59" i="9"/>
  <c r="L59" i="9"/>
  <c r="I59" i="9" s="1"/>
  <c r="G59" i="9" s="1"/>
  <c r="F59" i="9"/>
  <c r="G58" i="9"/>
  <c r="G57" i="9"/>
  <c r="G56" i="9"/>
  <c r="G55" i="9"/>
  <c r="G54" i="9"/>
  <c r="G53" i="9"/>
  <c r="G52" i="9"/>
  <c r="H49" i="9"/>
  <c r="G49" i="9" s="1"/>
  <c r="F49" i="9"/>
  <c r="G45" i="9"/>
  <c r="G44" i="9"/>
  <c r="G43" i="9"/>
  <c r="G42" i="9"/>
  <c r="G41" i="9"/>
  <c r="G40" i="9"/>
  <c r="H38" i="9"/>
  <c r="G38" i="9"/>
  <c r="M37" i="9"/>
  <c r="M39" i="9" s="1"/>
  <c r="J39" i="9" s="1"/>
  <c r="G39" i="9" s="1"/>
  <c r="F39" i="9" s="1"/>
  <c r="G36" i="9"/>
  <c r="G35" i="9"/>
  <c r="G34" i="9"/>
  <c r="G33" i="9"/>
  <c r="G32" i="9"/>
  <c r="G31" i="9"/>
  <c r="G30" i="9"/>
  <c r="G29" i="9"/>
  <c r="G28" i="9"/>
  <c r="G27" i="9"/>
  <c r="G26" i="9"/>
  <c r="G25" i="9"/>
  <c r="G24" i="9"/>
  <c r="F24" i="9"/>
  <c r="P23" i="9"/>
  <c r="J23" i="9" s="1"/>
  <c r="G23" i="9" s="1"/>
  <c r="P22" i="9"/>
  <c r="J22" i="9" s="1"/>
  <c r="G22" i="9" s="1"/>
  <c r="G21" i="9"/>
  <c r="F21" i="9"/>
  <c r="M20" i="9"/>
  <c r="J19" i="9"/>
  <c r="G19" i="9" s="1"/>
  <c r="G18" i="9"/>
  <c r="P17" i="9"/>
  <c r="G17" i="9"/>
  <c r="J16" i="9"/>
  <c r="I16" i="9"/>
  <c r="H16" i="9"/>
  <c r="G15" i="9"/>
  <c r="G14" i="9"/>
  <c r="G13" i="9"/>
  <c r="S12" i="9"/>
  <c r="S91" i="9" s="1"/>
  <c r="G12" i="9"/>
  <c r="G11" i="9"/>
  <c r="G10" i="9"/>
  <c r="G9" i="9"/>
  <c r="G8" i="9"/>
  <c r="G7" i="9"/>
  <c r="J6" i="9"/>
  <c r="G6" i="9" s="1"/>
  <c r="G5" i="9"/>
  <c r="I87" i="8"/>
  <c r="G87" i="8" s="1"/>
  <c r="N92" i="8"/>
  <c r="N86" i="8"/>
  <c r="N88" i="8" s="1"/>
  <c r="P85" i="8"/>
  <c r="J85" i="8" s="1"/>
  <c r="F72" i="8"/>
  <c r="F69" i="8"/>
  <c r="F62" i="8"/>
  <c r="F60" i="8"/>
  <c r="F50" i="8"/>
  <c r="F25" i="8"/>
  <c r="F22" i="8"/>
  <c r="H39" i="8"/>
  <c r="G39" i="8" s="1"/>
  <c r="M38" i="8"/>
  <c r="J38" i="8" s="1"/>
  <c r="G38" i="8" s="1"/>
  <c r="J20" i="8"/>
  <c r="P24" i="8"/>
  <c r="J24" i="8" s="1"/>
  <c r="G24" i="8" s="1"/>
  <c r="P23" i="8"/>
  <c r="J23" i="8" s="1"/>
  <c r="G23" i="8" s="1"/>
  <c r="M21" i="8"/>
  <c r="J21" i="8" s="1"/>
  <c r="G21" i="8" s="1"/>
  <c r="P18" i="8"/>
  <c r="AD88" i="8"/>
  <c r="AC88" i="8"/>
  <c r="AB88" i="8"/>
  <c r="Z88" i="8"/>
  <c r="Y88" i="8"/>
  <c r="X88" i="8"/>
  <c r="V88" i="8"/>
  <c r="T88" i="8"/>
  <c r="R88" i="8"/>
  <c r="Q88" i="8"/>
  <c r="O88" i="8"/>
  <c r="G84" i="8"/>
  <c r="U83" i="8"/>
  <c r="G83" i="8"/>
  <c r="G82" i="8"/>
  <c r="G81" i="8"/>
  <c r="G80" i="8"/>
  <c r="G79" i="8"/>
  <c r="G78" i="8"/>
  <c r="G77" i="8"/>
  <c r="G76" i="8"/>
  <c r="G75" i="8"/>
  <c r="G74" i="8"/>
  <c r="G73" i="8"/>
  <c r="G72" i="8"/>
  <c r="G66" i="8"/>
  <c r="G65" i="8"/>
  <c r="G64" i="8"/>
  <c r="G63" i="8"/>
  <c r="M62" i="8"/>
  <c r="J62" i="8" s="1"/>
  <c r="G62" i="8" s="1"/>
  <c r="G61" i="8"/>
  <c r="U60" i="8"/>
  <c r="L60" i="8"/>
  <c r="I60" i="8" s="1"/>
  <c r="G60" i="8" s="1"/>
  <c r="G59" i="8"/>
  <c r="G58" i="8"/>
  <c r="G57" i="8"/>
  <c r="G56" i="8"/>
  <c r="G55" i="8"/>
  <c r="G54" i="8"/>
  <c r="G53" i="8"/>
  <c r="G52" i="8"/>
  <c r="H50" i="8"/>
  <c r="G50" i="8" s="1"/>
  <c r="G46" i="8"/>
  <c r="G45" i="8"/>
  <c r="G44" i="8"/>
  <c r="G43" i="8"/>
  <c r="G42" i="8"/>
  <c r="G41" i="8"/>
  <c r="G37" i="8"/>
  <c r="G36" i="8"/>
  <c r="G35" i="8"/>
  <c r="G34" i="8"/>
  <c r="G33" i="8"/>
  <c r="G32" i="8"/>
  <c r="G31" i="8"/>
  <c r="G30" i="8"/>
  <c r="G29" i="8"/>
  <c r="G28" i="8"/>
  <c r="G27" i="8"/>
  <c r="G25" i="8"/>
  <c r="G22" i="8"/>
  <c r="G19" i="8"/>
  <c r="G18" i="8"/>
  <c r="J17" i="8"/>
  <c r="I17" i="8"/>
  <c r="H17" i="8"/>
  <c r="G16" i="8"/>
  <c r="G15" i="8"/>
  <c r="G14" i="8"/>
  <c r="S13" i="8"/>
  <c r="S88" i="8" s="1"/>
  <c r="G13" i="8"/>
  <c r="G12" i="8"/>
  <c r="G11" i="8"/>
  <c r="G10" i="8"/>
  <c r="G9" i="8"/>
  <c r="G8" i="8"/>
  <c r="J7" i="8"/>
  <c r="G7" i="8" s="1"/>
  <c r="G6" i="8"/>
  <c r="G5" i="8"/>
  <c r="G4" i="8"/>
  <c r="L91" i="9" l="1"/>
  <c r="G16" i="9"/>
  <c r="F87" i="9"/>
  <c r="G87" i="9"/>
  <c r="J37" i="9"/>
  <c r="G37" i="9" s="1"/>
  <c r="N91" i="9"/>
  <c r="AB92" i="9"/>
  <c r="U91" i="9"/>
  <c r="T92" i="9" s="1"/>
  <c r="P91" i="9"/>
  <c r="N92" i="9" s="1"/>
  <c r="M91" i="9"/>
  <c r="X92" i="9"/>
  <c r="Q92" i="9"/>
  <c r="J20" i="9"/>
  <c r="G20" i="9" s="1"/>
  <c r="H86" i="8"/>
  <c r="G86" i="8" s="1"/>
  <c r="F88" i="8"/>
  <c r="G26" i="8"/>
  <c r="U88" i="8"/>
  <c r="T89" i="8" s="1"/>
  <c r="M40" i="8"/>
  <c r="J40" i="8" s="1"/>
  <c r="G40" i="8" s="1"/>
  <c r="AB89" i="8"/>
  <c r="L88" i="8"/>
  <c r="X89" i="8"/>
  <c r="Q89" i="8"/>
  <c r="I88" i="8"/>
  <c r="K88" i="8"/>
  <c r="G17" i="8"/>
  <c r="P88" i="8"/>
  <c r="N89" i="8" s="1"/>
  <c r="F66" i="2"/>
  <c r="M80" i="2"/>
  <c r="H20" i="2"/>
  <c r="I20" i="2"/>
  <c r="M19" i="2"/>
  <c r="J19" i="2" s="1"/>
  <c r="K19" i="2"/>
  <c r="H19" i="2" s="1"/>
  <c r="M20" i="2"/>
  <c r="J20" i="2" s="1"/>
  <c r="H30" i="2"/>
  <c r="G30" i="2" s="1"/>
  <c r="F30" i="2" s="1"/>
  <c r="N29" i="2"/>
  <c r="H29" i="2" s="1"/>
  <c r="F67" i="2"/>
  <c r="H66" i="2"/>
  <c r="G66" i="2" s="1"/>
  <c r="H69" i="2"/>
  <c r="P68" i="2"/>
  <c r="J68" i="2"/>
  <c r="F90" i="2"/>
  <c r="L78" i="2"/>
  <c r="I78" i="2" s="1"/>
  <c r="G78" i="2" s="1"/>
  <c r="U78" i="2"/>
  <c r="K92" i="9" l="1"/>
  <c r="H88" i="8"/>
  <c r="G20" i="2"/>
  <c r="F20" i="2" s="1"/>
  <c r="H92" i="9" l="1"/>
  <c r="F110" i="2" l="1"/>
  <c r="AB111" i="2"/>
  <c r="AC111" i="2"/>
  <c r="AA111" i="2"/>
  <c r="G5" i="2"/>
  <c r="G6" i="2"/>
  <c r="G7" i="2"/>
  <c r="G8" i="2"/>
  <c r="G9" i="2"/>
  <c r="G10" i="2"/>
  <c r="G12" i="2"/>
  <c r="G13" i="2"/>
  <c r="G14" i="2"/>
  <c r="G15" i="2"/>
  <c r="G17" i="2"/>
  <c r="G18" i="2"/>
  <c r="G19" i="2"/>
  <c r="F19" i="2" s="1"/>
  <c r="G21" i="2"/>
  <c r="G22" i="2"/>
  <c r="G23" i="2"/>
  <c r="G24" i="2"/>
  <c r="G25" i="2"/>
  <c r="G26" i="2"/>
  <c r="G27" i="2"/>
  <c r="G28" i="2"/>
  <c r="G29" i="2"/>
  <c r="F29" i="2" s="1"/>
  <c r="G31" i="2"/>
  <c r="G32" i="2"/>
  <c r="G33" i="2"/>
  <c r="G34" i="2"/>
  <c r="G35" i="2"/>
  <c r="G36" i="2"/>
  <c r="G37" i="2"/>
  <c r="G39" i="2"/>
  <c r="G40" i="2"/>
  <c r="G41" i="2"/>
  <c r="G42" i="2"/>
  <c r="G43" i="2"/>
  <c r="G44" i="2"/>
  <c r="G46" i="2"/>
  <c r="G48" i="2"/>
  <c r="G49" i="2"/>
  <c r="G50" i="2"/>
  <c r="G51" i="2"/>
  <c r="G52" i="2"/>
  <c r="G53" i="2"/>
  <c r="G54" i="2"/>
  <c r="G55" i="2"/>
  <c r="G56" i="2"/>
  <c r="G57" i="2"/>
  <c r="G58" i="2"/>
  <c r="G59" i="2"/>
  <c r="G60" i="2"/>
  <c r="G61" i="2"/>
  <c r="G62" i="2"/>
  <c r="G63" i="2"/>
  <c r="G64" i="2"/>
  <c r="G68" i="2"/>
  <c r="F68" i="2" s="1"/>
  <c r="G69" i="2"/>
  <c r="F69" i="2" s="1"/>
  <c r="G70" i="2"/>
  <c r="G71" i="2"/>
  <c r="G72" i="2"/>
  <c r="G73" i="2"/>
  <c r="G75" i="2"/>
  <c r="G76" i="2"/>
  <c r="G77" i="2"/>
  <c r="G79" i="2"/>
  <c r="G83" i="2"/>
  <c r="G84" i="2"/>
  <c r="G85" i="2"/>
  <c r="G86" i="2"/>
  <c r="G93" i="2"/>
  <c r="G95" i="2"/>
  <c r="G96" i="2"/>
  <c r="G97" i="2"/>
  <c r="G99" i="2"/>
  <c r="G100" i="2"/>
  <c r="G101" i="2"/>
  <c r="G102" i="2"/>
  <c r="G103" i="2"/>
  <c r="G104" i="2"/>
  <c r="G105" i="2"/>
  <c r="G106" i="2"/>
  <c r="G107" i="2"/>
  <c r="G108" i="2"/>
  <c r="G109" i="2"/>
  <c r="G110" i="2"/>
  <c r="G4" i="2"/>
  <c r="AA112" i="2" l="1"/>
  <c r="H36" i="4"/>
  <c r="E36" i="4"/>
  <c r="D36" i="4" s="1"/>
  <c r="G35" i="4"/>
  <c r="E35" i="4"/>
  <c r="D35" i="4"/>
  <c r="H34" i="4"/>
  <c r="E34" i="4"/>
  <c r="D34" i="4"/>
  <c r="H33" i="4"/>
  <c r="E33" i="4"/>
  <c r="D33" i="4"/>
  <c r="H32" i="4"/>
  <c r="F32" i="4"/>
  <c r="D32" i="4"/>
  <c r="G31" i="4"/>
  <c r="D31" i="4" s="1"/>
  <c r="F31" i="4"/>
  <c r="G30" i="4"/>
  <c r="H30" i="4" s="1"/>
  <c r="F30" i="4"/>
  <c r="G29" i="4"/>
  <c r="H29" i="4" s="1"/>
  <c r="F29" i="4"/>
  <c r="D29" i="4"/>
  <c r="G28" i="4"/>
  <c r="D28" i="4" s="1"/>
  <c r="F28" i="4"/>
  <c r="E28" i="4"/>
  <c r="H27" i="4"/>
  <c r="F27" i="4"/>
  <c r="E27" i="4"/>
  <c r="D27" i="4"/>
  <c r="H26" i="4"/>
  <c r="E26" i="4"/>
  <c r="F26" i="4" s="1"/>
  <c r="D26" i="4"/>
  <c r="H25" i="4"/>
  <c r="F25" i="4"/>
  <c r="D25" i="4"/>
  <c r="G24" i="4"/>
  <c r="H24" i="4" s="1"/>
  <c r="F24" i="4"/>
  <c r="G23" i="4"/>
  <c r="H23" i="4" s="1"/>
  <c r="F23" i="4"/>
  <c r="D23" i="4"/>
  <c r="G22" i="4"/>
  <c r="D22" i="4" s="1"/>
  <c r="F22" i="4"/>
  <c r="H21" i="4"/>
  <c r="E21" i="4"/>
  <c r="F21" i="4" s="1"/>
  <c r="H20" i="4"/>
  <c r="F20" i="4"/>
  <c r="D20" i="4"/>
  <c r="H19" i="4"/>
  <c r="F19" i="4"/>
  <c r="D19" i="4"/>
  <c r="H18" i="4"/>
  <c r="E18" i="4"/>
  <c r="F18" i="4" s="1"/>
  <c r="D18" i="4"/>
  <c r="I17" i="4"/>
  <c r="I37" i="4" s="1"/>
  <c r="G17" i="4"/>
  <c r="H17" i="4" s="1"/>
  <c r="E17" i="4"/>
  <c r="F17" i="4" s="1"/>
  <c r="G16" i="4"/>
  <c r="D16" i="4" s="1"/>
  <c r="F16" i="4"/>
  <c r="E16" i="4"/>
  <c r="H15" i="4"/>
  <c r="F15" i="4"/>
  <c r="D15" i="4"/>
  <c r="G14" i="4"/>
  <c r="H14" i="4" s="1"/>
  <c r="E14" i="4"/>
  <c r="F14" i="4" s="1"/>
  <c r="D14" i="4"/>
  <c r="H13" i="4"/>
  <c r="F13" i="4"/>
  <c r="E13" i="4"/>
  <c r="D13" i="4"/>
  <c r="H12" i="4"/>
  <c r="F12" i="4"/>
  <c r="E12" i="4"/>
  <c r="D12" i="4"/>
  <c r="I11" i="4"/>
  <c r="H11" i="4"/>
  <c r="E11" i="4"/>
  <c r="F11" i="4" s="1"/>
  <c r="D11" i="4"/>
  <c r="H10" i="4"/>
  <c r="F10" i="4"/>
  <c r="D10" i="4"/>
  <c r="H9" i="4"/>
  <c r="F9" i="4"/>
  <c r="D9" i="4"/>
  <c r="H8" i="4"/>
  <c r="F8" i="4"/>
  <c r="D8" i="4"/>
  <c r="H7" i="4"/>
  <c r="F7" i="4"/>
  <c r="D7" i="4"/>
  <c r="H6" i="4"/>
  <c r="F6" i="4"/>
  <c r="D6" i="4"/>
  <c r="G5" i="4"/>
  <c r="G37" i="4" s="1"/>
  <c r="E5" i="4"/>
  <c r="H4" i="4"/>
  <c r="F4" i="4"/>
  <c r="D4" i="4"/>
  <c r="H3" i="4"/>
  <c r="F3" i="4"/>
  <c r="D3" i="4"/>
  <c r="H2" i="4"/>
  <c r="F2" i="4"/>
  <c r="D2" i="4"/>
  <c r="I92" i="3"/>
  <c r="G92" i="3"/>
  <c r="F92" i="3"/>
  <c r="H92" i="3"/>
  <c r="I91" i="3"/>
  <c r="H91" i="3"/>
  <c r="E91" i="3" s="1"/>
  <c r="F91" i="3"/>
  <c r="I90" i="3"/>
  <c r="H90" i="3"/>
  <c r="G90" i="3"/>
  <c r="F90" i="3"/>
  <c r="I89" i="3"/>
  <c r="H89" i="3"/>
  <c r="G89" i="3"/>
  <c r="F89" i="3"/>
  <c r="E89" i="3" s="1"/>
  <c r="I88" i="3"/>
  <c r="G88" i="3"/>
  <c r="F88" i="3"/>
  <c r="H87" i="3"/>
  <c r="G87" i="3"/>
  <c r="F87" i="3"/>
  <c r="E87" i="3" s="1"/>
  <c r="I87" i="3"/>
  <c r="I86" i="3"/>
  <c r="H86" i="3"/>
  <c r="E86" i="3" s="1"/>
  <c r="G86" i="3"/>
  <c r="F86" i="3"/>
  <c r="I85" i="3"/>
  <c r="F85" i="3"/>
  <c r="E85" i="3" s="1"/>
  <c r="H85" i="3"/>
  <c r="G85" i="3"/>
  <c r="H84" i="3"/>
  <c r="G84" i="3"/>
  <c r="F84" i="3"/>
  <c r="I84" i="3"/>
  <c r="I83" i="3"/>
  <c r="H83" i="3"/>
  <c r="E83" i="3" s="1"/>
  <c r="G83" i="3"/>
  <c r="F83" i="3"/>
  <c r="I82" i="3"/>
  <c r="H82" i="3"/>
  <c r="G82" i="3"/>
  <c r="F82" i="3"/>
  <c r="E82" i="3" s="1"/>
  <c r="I81" i="3"/>
  <c r="G81" i="3"/>
  <c r="F81" i="3"/>
  <c r="I80" i="3"/>
  <c r="G80" i="3"/>
  <c r="F80" i="3"/>
  <c r="H80" i="3"/>
  <c r="I79" i="3"/>
  <c r="H79" i="3"/>
  <c r="E79" i="3" s="1"/>
  <c r="G79" i="3"/>
  <c r="F79" i="3"/>
  <c r="I78" i="3"/>
  <c r="H78" i="3"/>
  <c r="G78" i="3"/>
  <c r="F78" i="3"/>
  <c r="I77" i="3"/>
  <c r="H77" i="3"/>
  <c r="G77" i="3"/>
  <c r="F77" i="3"/>
  <c r="I76" i="3"/>
  <c r="H76" i="3"/>
  <c r="E76" i="3" s="1"/>
  <c r="G76" i="3"/>
  <c r="F76" i="3"/>
  <c r="H75" i="3"/>
  <c r="G75" i="3"/>
  <c r="F75" i="3"/>
  <c r="I75" i="3"/>
  <c r="I74" i="3"/>
  <c r="H74" i="3"/>
  <c r="E74" i="3" s="1"/>
  <c r="G74" i="3"/>
  <c r="F74" i="3"/>
  <c r="I73" i="3"/>
  <c r="F73" i="3"/>
  <c r="H73" i="3"/>
  <c r="G73" i="3"/>
  <c r="H72" i="3"/>
  <c r="G72" i="3"/>
  <c r="F72" i="3"/>
  <c r="E72" i="3" s="1"/>
  <c r="I72" i="3"/>
  <c r="I71" i="3"/>
  <c r="G71" i="3"/>
  <c r="F71" i="3"/>
  <c r="I70" i="3"/>
  <c r="H70" i="3"/>
  <c r="G70" i="3"/>
  <c r="F70" i="3"/>
  <c r="I69" i="3"/>
  <c r="H69" i="3"/>
  <c r="E69" i="3" s="1"/>
  <c r="G69" i="3"/>
  <c r="F69" i="3"/>
  <c r="I68" i="3"/>
  <c r="G68" i="3"/>
  <c r="F68" i="3"/>
  <c r="H68" i="3"/>
  <c r="I67" i="3"/>
  <c r="H67" i="3"/>
  <c r="E67" i="3" s="1"/>
  <c r="G67" i="3"/>
  <c r="F67" i="3"/>
  <c r="I66" i="3"/>
  <c r="H66" i="3"/>
  <c r="G66" i="3"/>
  <c r="F66" i="3"/>
  <c r="I65" i="3"/>
  <c r="H65" i="3"/>
  <c r="G65" i="3"/>
  <c r="F65" i="3"/>
  <c r="E65" i="3" s="1"/>
  <c r="I64" i="3"/>
  <c r="G64" i="3"/>
  <c r="F64" i="3"/>
  <c r="H63" i="3"/>
  <c r="G63" i="3"/>
  <c r="F63" i="3"/>
  <c r="I63" i="3"/>
  <c r="I62" i="3"/>
  <c r="H62" i="3"/>
  <c r="E62" i="3" s="1"/>
  <c r="G62" i="3"/>
  <c r="F62" i="3"/>
  <c r="I61" i="3"/>
  <c r="F61" i="3"/>
  <c r="E61" i="3" s="1"/>
  <c r="H61" i="3"/>
  <c r="G61" i="3"/>
  <c r="H60" i="3"/>
  <c r="G60" i="3"/>
  <c r="F60" i="3"/>
  <c r="E60" i="3" s="1"/>
  <c r="I60" i="3"/>
  <c r="I59" i="3"/>
  <c r="G59" i="3"/>
  <c r="F59" i="3"/>
  <c r="I58" i="3"/>
  <c r="H58" i="3"/>
  <c r="G58" i="3"/>
  <c r="F58" i="3"/>
  <c r="E58" i="3" s="1"/>
  <c r="I57" i="3"/>
  <c r="G57" i="3"/>
  <c r="F57" i="3"/>
  <c r="I56" i="3"/>
  <c r="G56" i="3"/>
  <c r="F56" i="3"/>
  <c r="H56" i="3"/>
  <c r="I55" i="3"/>
  <c r="H55" i="3"/>
  <c r="E55" i="3" s="1"/>
  <c r="G55" i="3"/>
  <c r="F55" i="3"/>
  <c r="I54" i="3"/>
  <c r="H54" i="3"/>
  <c r="G54" i="3"/>
  <c r="F54" i="3"/>
  <c r="I53" i="3"/>
  <c r="H53" i="3"/>
  <c r="G53" i="3"/>
  <c r="F53" i="3"/>
  <c r="E53" i="3" s="1"/>
  <c r="I52" i="3"/>
  <c r="G52" i="3"/>
  <c r="F52" i="3"/>
  <c r="H51" i="3"/>
  <c r="G51" i="3"/>
  <c r="F51" i="3"/>
  <c r="E51" i="3" s="1"/>
  <c r="I51" i="3"/>
  <c r="I50" i="3"/>
  <c r="H50" i="3"/>
  <c r="E50" i="3" s="1"/>
  <c r="G50" i="3"/>
  <c r="F50" i="3"/>
  <c r="I49" i="3"/>
  <c r="F49" i="3"/>
  <c r="E49" i="3" s="1"/>
  <c r="H49" i="3"/>
  <c r="G49" i="3"/>
  <c r="H48" i="3"/>
  <c r="G48" i="3"/>
  <c r="F48" i="3"/>
  <c r="I48" i="3"/>
  <c r="I47" i="3"/>
  <c r="H47" i="3"/>
  <c r="E47" i="3" s="1"/>
  <c r="G47" i="3"/>
  <c r="F47" i="3"/>
  <c r="I46" i="3"/>
  <c r="H46" i="3"/>
  <c r="G46" i="3"/>
  <c r="F46" i="3"/>
  <c r="E46" i="3" s="1"/>
  <c r="I45" i="3"/>
  <c r="G45" i="3"/>
  <c r="F45" i="3"/>
  <c r="I44" i="3"/>
  <c r="G44" i="3"/>
  <c r="F44" i="3"/>
  <c r="H44" i="3"/>
  <c r="I43" i="3"/>
  <c r="H43" i="3"/>
  <c r="E43" i="3" s="1"/>
  <c r="G43" i="3"/>
  <c r="F43" i="3"/>
  <c r="I42" i="3"/>
  <c r="H42" i="3"/>
  <c r="G42" i="3"/>
  <c r="F42" i="3"/>
  <c r="I41" i="3"/>
  <c r="H41" i="3"/>
  <c r="G41" i="3"/>
  <c r="F41" i="3"/>
  <c r="I40" i="3"/>
  <c r="H40" i="3"/>
  <c r="E40" i="3" s="1"/>
  <c r="G40" i="3"/>
  <c r="F40" i="3"/>
  <c r="H39" i="3"/>
  <c r="G39" i="3"/>
  <c r="F39" i="3"/>
  <c r="I39" i="3"/>
  <c r="I38" i="3"/>
  <c r="H38" i="3"/>
  <c r="E38" i="3" s="1"/>
  <c r="G38" i="3"/>
  <c r="F38" i="3"/>
  <c r="I37" i="3"/>
  <c r="F37" i="3"/>
  <c r="H37" i="3"/>
  <c r="G37" i="3"/>
  <c r="H36" i="3"/>
  <c r="G36" i="3"/>
  <c r="F36" i="3"/>
  <c r="E36" i="3" s="1"/>
  <c r="I36" i="3"/>
  <c r="I35" i="3"/>
  <c r="G35" i="3"/>
  <c r="F35" i="3"/>
  <c r="I34" i="3"/>
  <c r="H34" i="3"/>
  <c r="G34" i="3"/>
  <c r="F34" i="3"/>
  <c r="I33" i="3"/>
  <c r="H33" i="3"/>
  <c r="E33" i="3" s="1"/>
  <c r="G33" i="3"/>
  <c r="F33" i="3"/>
  <c r="I32" i="3"/>
  <c r="G32" i="3"/>
  <c r="F32" i="3"/>
  <c r="H32" i="3"/>
  <c r="I31" i="3"/>
  <c r="H31" i="3"/>
  <c r="E31" i="3" s="1"/>
  <c r="G31" i="3"/>
  <c r="F31" i="3"/>
  <c r="I30" i="3"/>
  <c r="H30" i="3"/>
  <c r="G30" i="3"/>
  <c r="F30" i="3"/>
  <c r="I29" i="3"/>
  <c r="H29" i="3"/>
  <c r="G29" i="3"/>
  <c r="F29" i="3"/>
  <c r="E29" i="3" s="1"/>
  <c r="I28" i="3"/>
  <c r="G28" i="3"/>
  <c r="F28" i="3"/>
  <c r="H27" i="3"/>
  <c r="G27" i="3"/>
  <c r="F27" i="3"/>
  <c r="I27" i="3"/>
  <c r="I26" i="3"/>
  <c r="H26" i="3"/>
  <c r="E26" i="3" s="1"/>
  <c r="G26" i="3"/>
  <c r="F26" i="3"/>
  <c r="I25" i="3"/>
  <c r="F25" i="3"/>
  <c r="E25" i="3" s="1"/>
  <c r="H25" i="3"/>
  <c r="G25" i="3"/>
  <c r="H24" i="3"/>
  <c r="G24" i="3"/>
  <c r="F24" i="3"/>
  <c r="E24" i="3" s="1"/>
  <c r="I24" i="3"/>
  <c r="I23" i="3"/>
  <c r="G23" i="3"/>
  <c r="F23" i="3"/>
  <c r="I22" i="3"/>
  <c r="H22" i="3"/>
  <c r="G22" i="3"/>
  <c r="F22" i="3"/>
  <c r="E22" i="3" s="1"/>
  <c r="I21" i="3"/>
  <c r="G21" i="3"/>
  <c r="F21" i="3"/>
  <c r="I20" i="3"/>
  <c r="G20" i="3"/>
  <c r="F20" i="3"/>
  <c r="H20" i="3"/>
  <c r="I19" i="3"/>
  <c r="H19" i="3"/>
  <c r="E19" i="3" s="1"/>
  <c r="G19" i="3"/>
  <c r="F19" i="3"/>
  <c r="I18" i="3"/>
  <c r="H18" i="3"/>
  <c r="G18" i="3"/>
  <c r="F18" i="3"/>
  <c r="I17" i="3"/>
  <c r="H17" i="3"/>
  <c r="G17" i="3"/>
  <c r="F17" i="3"/>
  <c r="E17" i="3" s="1"/>
  <c r="I16" i="3"/>
  <c r="G16" i="3"/>
  <c r="F16" i="3"/>
  <c r="I15" i="3"/>
  <c r="H15" i="3"/>
  <c r="G15" i="3"/>
  <c r="F15" i="3"/>
  <c r="E15" i="3" s="1"/>
  <c r="I14" i="3"/>
  <c r="H14" i="3"/>
  <c r="E14" i="3" s="1"/>
  <c r="G14" i="3"/>
  <c r="F14" i="3"/>
  <c r="I13" i="3"/>
  <c r="F13" i="3"/>
  <c r="E13" i="3" s="1"/>
  <c r="H13" i="3"/>
  <c r="G13" i="3"/>
  <c r="H12" i="3"/>
  <c r="G12" i="3"/>
  <c r="F12" i="3"/>
  <c r="I12" i="3"/>
  <c r="I11" i="3"/>
  <c r="H11" i="3"/>
  <c r="E11" i="3" s="1"/>
  <c r="G11" i="3"/>
  <c r="F11" i="3"/>
  <c r="I10" i="3"/>
  <c r="H10" i="3"/>
  <c r="G10" i="3"/>
  <c r="F10" i="3"/>
  <c r="E10" i="3" s="1"/>
  <c r="I9" i="3"/>
  <c r="G9" i="3"/>
  <c r="F9" i="3"/>
  <c r="I8" i="3"/>
  <c r="G8" i="3"/>
  <c r="F8" i="3"/>
  <c r="H8" i="3"/>
  <c r="I7" i="3"/>
  <c r="H7" i="3"/>
  <c r="E7" i="3" s="1"/>
  <c r="O93" i="3"/>
  <c r="G7" i="3"/>
  <c r="F7" i="3"/>
  <c r="I6" i="3"/>
  <c r="H6" i="3"/>
  <c r="G6" i="3"/>
  <c r="F6" i="3"/>
  <c r="I5" i="3"/>
  <c r="H5" i="3"/>
  <c r="G5" i="3"/>
  <c r="F5" i="3"/>
  <c r="H4" i="3"/>
  <c r="E4" i="3" s="1"/>
  <c r="G4" i="3"/>
  <c r="F4" i="3"/>
  <c r="E37" i="4" l="1"/>
  <c r="H16" i="4"/>
  <c r="H22" i="4"/>
  <c r="H28" i="4"/>
  <c r="H31" i="4"/>
  <c r="D17" i="4"/>
  <c r="D5" i="4"/>
  <c r="F5" i="4"/>
  <c r="F37" i="4" s="1"/>
  <c r="D21" i="4"/>
  <c r="D24" i="4"/>
  <c r="D30" i="4"/>
  <c r="H5" i="4"/>
  <c r="E80" i="3"/>
  <c r="Q93" i="3"/>
  <c r="E37" i="3"/>
  <c r="E73" i="3"/>
  <c r="R93" i="3"/>
  <c r="E18" i="3"/>
  <c r="E54" i="3"/>
  <c r="E90" i="3"/>
  <c r="S93" i="3"/>
  <c r="E39" i="3"/>
  <c r="E75" i="3"/>
  <c r="F93" i="3"/>
  <c r="T93" i="3"/>
  <c r="H21" i="3"/>
  <c r="E21" i="3" s="1"/>
  <c r="H28" i="3"/>
  <c r="E28" i="3" s="1"/>
  <c r="E32" i="3"/>
  <c r="H35" i="3"/>
  <c r="E35" i="3" s="1"/>
  <c r="H57" i="3"/>
  <c r="E57" i="3" s="1"/>
  <c r="H64" i="3"/>
  <c r="E64" i="3" s="1"/>
  <c r="E68" i="3"/>
  <c r="H71" i="3"/>
  <c r="E71" i="3" s="1"/>
  <c r="E66" i="3"/>
  <c r="E8" i="3"/>
  <c r="J93" i="3"/>
  <c r="N93" i="3"/>
  <c r="E44" i="3"/>
  <c r="G93" i="3"/>
  <c r="E6" i="3"/>
  <c r="E34" i="3"/>
  <c r="E42" i="3"/>
  <c r="K93" i="3"/>
  <c r="E27" i="3"/>
  <c r="E63" i="3"/>
  <c r="E92" i="3"/>
  <c r="M93" i="3"/>
  <c r="E30" i="3"/>
  <c r="U93" i="3"/>
  <c r="E5" i="3"/>
  <c r="E93" i="3" s="1"/>
  <c r="E41" i="3"/>
  <c r="E70" i="3"/>
  <c r="E77" i="3"/>
  <c r="E78" i="3"/>
  <c r="L93" i="3"/>
  <c r="H9" i="3"/>
  <c r="E9" i="3" s="1"/>
  <c r="E12" i="3"/>
  <c r="H16" i="3"/>
  <c r="E16" i="3" s="1"/>
  <c r="E20" i="3"/>
  <c r="H23" i="3"/>
  <c r="E23" i="3" s="1"/>
  <c r="H45" i="3"/>
  <c r="E45" i="3" s="1"/>
  <c r="E48" i="3"/>
  <c r="H52" i="3"/>
  <c r="E52" i="3" s="1"/>
  <c r="E56" i="3"/>
  <c r="H59" i="3"/>
  <c r="E59" i="3" s="1"/>
  <c r="H81" i="3"/>
  <c r="E81" i="3" s="1"/>
  <c r="E84" i="3"/>
  <c r="H88" i="3"/>
  <c r="E88" i="3" s="1"/>
  <c r="G91" i="3"/>
  <c r="P93" i="3"/>
  <c r="I4" i="3"/>
  <c r="I93" i="3" s="1"/>
  <c r="D37" i="4" l="1"/>
  <c r="H37" i="4"/>
  <c r="H93" i="3"/>
  <c r="F111" i="2" l="1"/>
  <c r="H111" i="2"/>
  <c r="I111" i="2"/>
  <c r="K111" i="2"/>
  <c r="L111" i="2"/>
  <c r="N111" i="2"/>
  <c r="O111" i="2"/>
  <c r="P111" i="2"/>
  <c r="Q111" i="2"/>
  <c r="R111" i="2"/>
  <c r="S111" i="2"/>
  <c r="T111" i="2"/>
  <c r="V111" i="2"/>
  <c r="AE111" i="2"/>
  <c r="AF111" i="2"/>
  <c r="AG111" i="2"/>
  <c r="X111" i="2"/>
  <c r="Y111" i="2"/>
  <c r="Z111" i="2"/>
  <c r="M111" i="2"/>
  <c r="Q112" i="2" l="1"/>
  <c r="N112" i="2"/>
  <c r="X112" i="2"/>
  <c r="K112" i="2"/>
  <c r="AE112" i="2"/>
  <c r="J80" i="2"/>
  <c r="J111" i="2" l="1"/>
  <c r="G80" i="2"/>
  <c r="U106" i="2"/>
  <c r="H112" i="2" l="1"/>
  <c r="G111" i="2"/>
  <c r="U111" i="2"/>
  <c r="T112" i="2" s="1"/>
  <c r="J88" i="8"/>
  <c r="H89" i="8" s="1"/>
  <c r="M88" i="8"/>
  <c r="K89" i="8" s="1"/>
  <c r="G20" i="8"/>
  <c r="G88" i="8" l="1"/>
</calcChain>
</file>

<file path=xl/sharedStrings.xml><?xml version="1.0" encoding="utf-8"?>
<sst xmlns="http://schemas.openxmlformats.org/spreadsheetml/2006/main" count="2038" uniqueCount="485">
  <si>
    <t>Elluviija</t>
  </si>
  <si>
    <t>Partner</t>
  </si>
  <si>
    <t>Tegevus</t>
  </si>
  <si>
    <t>Lisavajadus</t>
  </si>
  <si>
    <t>JDM</t>
  </si>
  <si>
    <t>Andmed</t>
  </si>
  <si>
    <t>AKI</t>
  </si>
  <si>
    <t>ANDMED06</t>
  </si>
  <si>
    <t>DGA määruse rakendamine</t>
  </si>
  <si>
    <t>ANDMED10</t>
  </si>
  <si>
    <t>Tehisintellekti määruse rakendamine</t>
  </si>
  <si>
    <t>EKI</t>
  </si>
  <si>
    <t>ANDMED03</t>
  </si>
  <si>
    <t>Ekilexi arenduse III etapp</t>
  </si>
  <si>
    <t>ANDMED04</t>
  </si>
  <si>
    <t>Tõlkevärava arendus ja hooldustööd</t>
  </si>
  <si>
    <t>ANDMED11</t>
  </si>
  <si>
    <t>Keeletehnoloogia eesmärkide saavutamine</t>
  </si>
  <si>
    <t>TTJA</t>
  </si>
  <si>
    <t>ANDMED09</t>
  </si>
  <si>
    <t>ANDMED01</t>
  </si>
  <si>
    <t>TI avaliku sektori suuna elluviimine (majandamiskulud)</t>
  </si>
  <si>
    <t>TI avaliku sektori suuna elluviimine (personal)</t>
  </si>
  <si>
    <t>ANDMED05</t>
  </si>
  <si>
    <t>Andmekirjaoskuse koolitus ja kampaania</t>
  </si>
  <si>
    <t>ANDMED08</t>
  </si>
  <si>
    <t>Kogukond</t>
  </si>
  <si>
    <t>RIA</t>
  </si>
  <si>
    <t>KOGUK06</t>
  </si>
  <si>
    <t>Ühtse digiriigi inforuumi loomine</t>
  </si>
  <si>
    <t>KOGUK01</t>
  </si>
  <si>
    <t>IT-juhtide metsaseminar</t>
  </si>
  <si>
    <t>KOGUK02</t>
  </si>
  <si>
    <t>Tippjuhtide digifoorum</t>
  </si>
  <si>
    <t>KOGUK03</t>
  </si>
  <si>
    <t>Sulg konkurss</t>
  </si>
  <si>
    <t>KOGUK04</t>
  </si>
  <si>
    <t>Erasektori kogukonnaprojekt (Telia Digital Hub)</t>
  </si>
  <si>
    <t>KOGUK05</t>
  </si>
  <si>
    <t>Riigi IT-teemaline podcast</t>
  </si>
  <si>
    <t>Oskused</t>
  </si>
  <si>
    <t>OSKUS10</t>
  </si>
  <si>
    <t>OSKUS01</t>
  </si>
  <si>
    <t>Teavitus- ja kommunikatsioonitegevused</t>
  </si>
  <si>
    <t>OSKUS02</t>
  </si>
  <si>
    <t>Digiriigi Akadeemia e-kursuste loomine (varem Digiriigi Akadeemia uute e-kursuste raamleping)</t>
  </si>
  <si>
    <t>OSKUS03</t>
  </si>
  <si>
    <t>Koolitused tippjuhtidele (varem Digitipud 2.0 koolituste ettevalmistamine ja läbiviimine)</t>
  </si>
  <si>
    <t>OSKUS04</t>
  </si>
  <si>
    <t>Spetsialistidele suunatud kesksed koolitused (varem Kesksete spetsialistidele suunatud koolituste ettevalmistamine ja läbiviimine)</t>
  </si>
  <si>
    <t>OSKUS05</t>
  </si>
  <si>
    <t>Projektijuht (1 FTE)</t>
  </si>
  <si>
    <t>OSKUS06</t>
  </si>
  <si>
    <t>Koostöömudel kutse- ja ülikoolidega (varem Häkatonide ja sümpoosionide ettevalmistamine ja läbiviimine)</t>
  </si>
  <si>
    <t>OSKUS07</t>
  </si>
  <si>
    <t>Keskne IT-praktikaprogramm (varem Keskse IT-majade praktikaprogrammi ettevalmistamine ja läbiviimine)</t>
  </si>
  <si>
    <t>OSKUS08</t>
  </si>
  <si>
    <t>OSKUS09</t>
  </si>
  <si>
    <t>OSKUS11</t>
  </si>
  <si>
    <t>Riik kui IT-tööandja tegevusplaani jõustamine</t>
  </si>
  <si>
    <t>OSKUS12</t>
  </si>
  <si>
    <t>Oskuste tegevuskava jõustamine</t>
  </si>
  <si>
    <t>Raha</t>
  </si>
  <si>
    <t>RAHA01</t>
  </si>
  <si>
    <t>Uus: IKT rahastamise talituse võimekuse tõstmiseks vajalikud koolitused ja konsultatsioonid. Vana:Koolitused, konsultatsioonid</t>
  </si>
  <si>
    <t>RAHA02</t>
  </si>
  <si>
    <t>Digivaldkonna eelarve ekspert (1 FTE), Digipöörete valdkonnajuht (1 FTE),  Digiriigi arengu strateegiaekspert (1 FTE), Ekspert (1 FTE)</t>
  </si>
  <si>
    <t>RAHA03</t>
  </si>
  <si>
    <t>Uus: IKT rahastamisprotsesside analüüs? Vana:Analüüsid</t>
  </si>
  <si>
    <t>RAHA04</t>
  </si>
  <si>
    <t>Võimekuse ja küpsuse hindamise metoodika</t>
  </si>
  <si>
    <t>RAHA05</t>
  </si>
  <si>
    <t>Kommunikatsioonitegevused</t>
  </si>
  <si>
    <t>Riikliku Küberturvalisuse Osakond</t>
  </si>
  <si>
    <t>KÜBER01</t>
  </si>
  <si>
    <t>Uuring: (NIS2, DORA,GDPR) Õigusaktide rakendamiseks ühtse teavituskanali loomine. Teavituskohustuse lihtsustamine sihtrühmadele. Õigusliku raami uurimine ja ettepanekud rakenduskavaks</t>
  </si>
  <si>
    <t>Rohedigi</t>
  </si>
  <si>
    <t>ROHED01</t>
  </si>
  <si>
    <t>Rohedigi valdkonnajuht</t>
  </si>
  <si>
    <t>Strateegia</t>
  </si>
  <si>
    <t>STRAT01</t>
  </si>
  <si>
    <t>Strateegiapäevade korraldamine</t>
  </si>
  <si>
    <t>Teenused</t>
  </si>
  <si>
    <t>TEENUS01</t>
  </si>
  <si>
    <t>240125 UUS: Teenuse standardi juurutamine ; VANA:Teenuste ja digidisaini konsultatsiooni sisse ostmine</t>
  </si>
  <si>
    <t>TEENUS02</t>
  </si>
  <si>
    <t>240125 UUS: Teenuse juhtimise ja arendamise seminarid; VANA: Digidisainisüsteemide koosvõimelisuse arendamise võrgustikutöö</t>
  </si>
  <si>
    <t>TEENUS03</t>
  </si>
  <si>
    <t>240125 UUS: Disainisüsteemi riigiülese juhtimismudeli välja töötamine ja juurutamine; VANA: Teenuste - ja disainikompetentsikeskuse käima lükkamine</t>
  </si>
  <si>
    <t>Tehnoloogia</t>
  </si>
  <si>
    <t>TARISTU01</t>
  </si>
  <si>
    <t>Arhitektuurinõukogu kohtumised</t>
  </si>
  <si>
    <t>TARISTU02</t>
  </si>
  <si>
    <t>Välislähetused</t>
  </si>
  <si>
    <t>TARISTU03</t>
  </si>
  <si>
    <t>Analüüsid</t>
  </si>
  <si>
    <t>TARISTU04</t>
  </si>
  <si>
    <t>Häkatonid</t>
  </si>
  <si>
    <t>TARISTU05</t>
  </si>
  <si>
    <t>eIDAS 2.0 rakendamine (EUDI Wallet/kukru juurutamine) ministeerium</t>
  </si>
  <si>
    <t>TARISTU07</t>
  </si>
  <si>
    <t>Riigiülese tehnoloogiavaate POC</t>
  </si>
  <si>
    <t>eIDAS 2.0 rakendamine (EUDI Wallet/kukru juurutamine) RIA</t>
  </si>
  <si>
    <t>TARISTU08</t>
  </si>
  <si>
    <t>MISP2 moderniseerimine</t>
  </si>
  <si>
    <t>MKM_SDG</t>
  </si>
  <si>
    <t xml:space="preserve">SDG liidestused </t>
  </si>
  <si>
    <t>HTM</t>
  </si>
  <si>
    <t>Registrite valmisolek piiriüleseks andmevahetuseks</t>
  </si>
  <si>
    <t>PRIA</t>
  </si>
  <si>
    <t>Tervisekassa</t>
  </si>
  <si>
    <t>Transpordiamet</t>
  </si>
  <si>
    <t>Andmevahetuse osakond</t>
  </si>
  <si>
    <t xml:space="preserve"> RAH-118 </t>
  </si>
  <si>
    <t xml:space="preserve"> RAH-129 </t>
  </si>
  <si>
    <t>NT juriidilise isiku arendus</t>
  </si>
  <si>
    <t xml:space="preserve"> RAH-245 </t>
  </si>
  <si>
    <t>Avaandmete teabevärava tööjõukulu​</t>
  </si>
  <si>
    <t xml:space="preserve"> RAH-257/271 </t>
  </si>
  <si>
    <t>Koodivaramu tööjõukulu​</t>
  </si>
  <si>
    <t xml:space="preserve"> RAH-MKM/271 </t>
  </si>
  <si>
    <t>Funktsioonide register</t>
  </si>
  <si>
    <t>eID osakond</t>
  </si>
  <si>
    <t xml:space="preserve"> RAH-106 </t>
  </si>
  <si>
    <t>RIA iseteenindusportaal eID kesksete teenuste näitel</t>
  </si>
  <si>
    <t xml:space="preserve"> RAH-111 </t>
  </si>
  <si>
    <t>SF -Arhiveerimise ajatempliga allkirja (LTA) vormingu tugi</t>
  </si>
  <si>
    <t xml:space="preserve"> RAH-164 </t>
  </si>
  <si>
    <t>SF-CDOC2.0 - Pikaajalise salastamise tugi - II etapp (RAH 164)</t>
  </si>
  <si>
    <t>CDOC2 - krüpteerimine Mobiil-ID ja Smart-Idga (RAH-212)</t>
  </si>
  <si>
    <t>Projektijuht (CDOC, CDOC2 ja LTA)</t>
  </si>
  <si>
    <t xml:space="preserve"> RAH-269 </t>
  </si>
  <si>
    <t>ID-kaardiga nutiseadmete veebilehitsejates NFCga autentimise ja allkirjastamise võimekuse tehnilise lahenduse loomine ning eID ökosüsteemi integreerimine</t>
  </si>
  <si>
    <t xml:space="preserve">Digikukkur I etapp </t>
  </si>
  <si>
    <t xml:space="preserve"> RAH-73 </t>
  </si>
  <si>
    <t>Digikukkur II etapp</t>
  </si>
  <si>
    <t xml:space="preserve"> RAH-74 </t>
  </si>
  <si>
    <t xml:space="preserve">Digikukkur III etapp (allkirjastamisvõimekus) </t>
  </si>
  <si>
    <t xml:space="preserve"> RAH-75 </t>
  </si>
  <si>
    <t>ID-kaardiga nutiseadmete veebilehitsejates NFCga autentimise ja allkirjastamise võimekuse tehnilise lähteülesande loomine</t>
  </si>
  <si>
    <t>RAH-295</t>
  </si>
  <si>
    <t>MID riikliku teenuse lõppemise analüüs</t>
  </si>
  <si>
    <t xml:space="preserve">RAH-296 </t>
  </si>
  <si>
    <t>Digikukru/Walleti analüüsid  + projektijuht, arhitekt ja analüütik</t>
  </si>
  <si>
    <t>RAH-297</t>
  </si>
  <si>
    <t>Krüptouuring</t>
  </si>
  <si>
    <t xml:space="preserve">Intsidentide käsitlemise osakond </t>
  </si>
  <si>
    <t xml:space="preserve"> RAH-157 </t>
  </si>
  <si>
    <t>2023 CERT-EE kogukonnaüritustega jätkamine - RAH-157</t>
  </si>
  <si>
    <t>Järelvalve osakond</t>
  </si>
  <si>
    <t xml:space="preserve"> RAH-267 </t>
  </si>
  <si>
    <t xml:space="preserve">Haldustööriista arendamine </t>
  </si>
  <si>
    <t xml:space="preserve"> RAH-268 </t>
  </si>
  <si>
    <t xml:space="preserve">FESA/ECATS usaldusteenuse regulaatorasutuste töörühma korraldamine Eestis </t>
  </si>
  <si>
    <t>Kriitilise infrastuktuuri kaitse osakond</t>
  </si>
  <si>
    <t>KüTS subjektide turvatestimine  (SF)</t>
  </si>
  <si>
    <t>Riigiportaali Talitus</t>
  </si>
  <si>
    <t xml:space="preserve"> RAH-202 </t>
  </si>
  <si>
    <t>Postkast 2.0 MVP arendamine​</t>
  </si>
  <si>
    <t>SF Riiklik Postkast 2.0 turvatestimine​</t>
  </si>
  <si>
    <t>SF Tehnoloogilise võla likvideerimise jätkutööd​</t>
  </si>
  <si>
    <t>Riikliku mobiilirakenduse talitus</t>
  </si>
  <si>
    <t xml:space="preserve"> RAH-270 </t>
  </si>
  <si>
    <t>Riikliku mobiilirakenduse Täiendavad analüüsid ja landingpage</t>
  </si>
  <si>
    <t xml:space="preserve"> RAH-265/202 </t>
  </si>
  <si>
    <t>PK 2.0 täisversiooni arendus (sh mRiik liidestused  jne) ​</t>
  </si>
  <si>
    <t>Riikliku mobiilirakenduse arenduskulud</t>
  </si>
  <si>
    <t xml:space="preserve"> RAH-87 </t>
  </si>
  <si>
    <t>SF Personaliseeritud ja proaktiivne iseteenindus (investeeringud)​</t>
  </si>
  <si>
    <t xml:space="preserve"> RAH-197 </t>
  </si>
  <si>
    <t>SF Veera disainisüsteemi analüüsid, hooldus- ja arendustööd</t>
  </si>
  <si>
    <t>RIT</t>
  </si>
  <si>
    <t>Arvutitöökoht</t>
  </si>
  <si>
    <t>JA0-SF-ATK-TIIM</t>
  </si>
  <si>
    <t>ATK</t>
  </si>
  <si>
    <t>JA0-SF-AUTOM</t>
  </si>
  <si>
    <t>Töökohateenuste automatiseerimise võimestamine</t>
  </si>
  <si>
    <t>JA0-SF-NUTIHALDUS</t>
  </si>
  <si>
    <t>Nutiseadmete haldus (AK mobiiltelefoni teenus)​</t>
  </si>
  <si>
    <t>JA0-SF-PIIRATUD-VÕRK</t>
  </si>
  <si>
    <t>Piiratud Võrk​</t>
  </si>
  <si>
    <t>JA0-SF-RIIGI-IAM</t>
  </si>
  <si>
    <t>Riigi IAM​</t>
  </si>
  <si>
    <t>JA0-SF-TARISTU</t>
  </si>
  <si>
    <t>Taristu ja platvormteenuste automatiseerimine</t>
  </si>
  <si>
    <t>JA0-SF-VARADE-BAAS </t>
  </si>
  <si>
    <t>Väikevarade andmebaasi väljavahetus</t>
  </si>
  <si>
    <t>Serverite alustaristu</t>
  </si>
  <si>
    <t>JA0-SF-AVALIK-PILV</t>
  </si>
  <si>
    <t>Avalik Pilv​</t>
  </si>
  <si>
    <t>JA0-SF-RP-2.0</t>
  </si>
  <si>
    <t>Riigipilv 2.0​</t>
  </si>
  <si>
    <t>Turuplats</t>
  </si>
  <si>
    <t>Turuplatsi halduskulu</t>
  </si>
  <si>
    <t>Turuplatsi platvormi arendamine</t>
  </si>
  <si>
    <t>Turuplatsi tööjõukulu</t>
  </si>
  <si>
    <t>ID Tegevus</t>
  </si>
  <si>
    <t>KOKKU</t>
  </si>
  <si>
    <t>Kokku</t>
  </si>
  <si>
    <t>2025 GO-otsused</t>
  </si>
  <si>
    <t>Vastutav üksus</t>
  </si>
  <si>
    <t>-</t>
  </si>
  <si>
    <t>15 - investeering</t>
  </si>
  <si>
    <t>50 - tööjõukulu</t>
  </si>
  <si>
    <t>55-majandamiskulu</t>
  </si>
  <si>
    <t>TI avaliku sektori suuna elluviimine</t>
  </si>
  <si>
    <t>LISA 2</t>
  </si>
  <si>
    <t>Koondsummad aastate lõikes</t>
  </si>
  <si>
    <t>2023 GO-otsused</t>
  </si>
  <si>
    <t>2023 GO otsusega summa, mis tuuakse üle 2024 aastasse (2023 aastal kasutamata vahendid)</t>
  </si>
  <si>
    <t>2024 lisanduv vajadus</t>
  </si>
  <si>
    <t>2024 kokku</t>
  </si>
  <si>
    <t>Nr</t>
  </si>
  <si>
    <t>Asutus</t>
  </si>
  <si>
    <t>Valdkond/osakond</t>
  </si>
  <si>
    <t>Summa kokku 
2023-2024</t>
  </si>
  <si>
    <t>2023</t>
  </si>
  <si>
    <t>2024 
(2023 jätk)</t>
  </si>
  <si>
    <t>2024 lisanduv</t>
  </si>
  <si>
    <t>2024</t>
  </si>
  <si>
    <t>Inv.
(15)</t>
  </si>
  <si>
    <t>Tööj.kulu
(50)</t>
  </si>
  <si>
    <t xml:space="preserve">Maj.kulu
(55) </t>
  </si>
  <si>
    <t>Inv.
(15)2</t>
  </si>
  <si>
    <t>Tööj.kulu
(50)2</t>
  </si>
  <si>
    <t>Maj.kulu
(55) 2</t>
  </si>
  <si>
    <t>Inv.
(15)3</t>
  </si>
  <si>
    <t>Tööj.kulu
(50)3</t>
  </si>
  <si>
    <t>Maj.kulu
(55) 3</t>
  </si>
  <si>
    <t>Inv.
(15)4</t>
  </si>
  <si>
    <t>Tööj.kulu
(50)4</t>
  </si>
  <si>
    <t>Maj.kulu
(55) 4</t>
  </si>
  <si>
    <t>Turuplatsi platvormi arendamine*</t>
  </si>
  <si>
    <t>SF Veera kodulehe ajakohastamine ja analüüs, liikumaks Veera 2.0.0 peale ​</t>
  </si>
  <si>
    <t>Andmevahetuse realiseerimine Sipelga ja  EL Komisjoni ühiste komponentide vahel</t>
  </si>
  <si>
    <t>TõendiPistik mooduli ülesseadmine ja konfigureerimine</t>
  </si>
  <si>
    <t>eDelivery Access Pointi ülalpidamiskulud</t>
  </si>
  <si>
    <t>Access Pointi ja Siplega vahelise andmevahetuse realiseerimine</t>
  </si>
  <si>
    <t>Sipelga lisandväärtust pakkuvad arendused</t>
  </si>
  <si>
    <t>Sipelga päringumootori baasfunktsionaalsuste arendus</t>
  </si>
  <si>
    <t>Tõendi andmete vahendamise võimekuse loomine üle X-tee</t>
  </si>
  <si>
    <t>Tõendi profiili ja reeglite süsteemi loomine</t>
  </si>
  <si>
    <t>Eelvaateala lisafunktsionaalsuste ja esindusõiguste valimine</t>
  </si>
  <si>
    <t>Eelvaateala täisfunktsionaalsuste väljaarendamine kõigi tõenditüüpide jaoks</t>
  </si>
  <si>
    <t>Esmase tõendi eelvaateala funktsionaalsuste loomine</t>
  </si>
  <si>
    <t>MEM</t>
  </si>
  <si>
    <t>Registrite valmisolek piiriüleseks andmevahetuseks  (PTA jaoks)</t>
  </si>
  <si>
    <t>SMIT</t>
  </si>
  <si>
    <t>Registrite valmisolek piiriüleseks andmevahetuseks (SIMi jaoks)</t>
  </si>
  <si>
    <t>Registrite valmisolek piiriüleseks andmevahetuseks (MTR)</t>
  </si>
  <si>
    <t>TEHIK</t>
  </si>
  <si>
    <t>Registrite valmisolek piiriüleseks andmevahetuseks (SKA jaoks)</t>
  </si>
  <si>
    <t>Registrite valmisolek piiriüleseks andmevahetuseks (Terviseameti jaoks)</t>
  </si>
  <si>
    <t>RMIT</t>
  </si>
  <si>
    <t>Registrite valmisolek piiriüleseks andmevahetuseks (eMTA jaoks)*</t>
  </si>
  <si>
    <t>MKM</t>
  </si>
  <si>
    <t>Teenuste ja digidisaini konsultatsiooni sisse ostmine</t>
  </si>
  <si>
    <t>Digidisainisüsteemide koosvõimelisuse arendamise võrgustikutöö</t>
  </si>
  <si>
    <t>Teenuste - ja disainikompetentsikeskuse käima lükkamine</t>
  </si>
  <si>
    <t>Võrgustikutöö</t>
  </si>
  <si>
    <t>Tõlkevärava hooldustööd</t>
  </si>
  <si>
    <t>Digiriigi Akadeemia uute e-kursuste raamleping</t>
  </si>
  <si>
    <t>Digitipud 2.0 koolituste ettevalmistamine ja läbiviimine</t>
  </si>
  <si>
    <t>Kesksete spetsialistidele suunatud koolituste ettevalmistamine ja läbiviimine</t>
  </si>
  <si>
    <t>Häkatonide ja sümpoosionide ettevalmistamine ja läbiviimine</t>
  </si>
  <si>
    <t>Keskse IT-majade praktikaprogrammi ettevalmistamine ja läbiviimine</t>
  </si>
  <si>
    <t>Digiriigi Akadeemia platvormi haldus- ja arendus</t>
  </si>
  <si>
    <t>Koolitused, konsultatsioonid</t>
  </si>
  <si>
    <t>Hanke tehnilise toe ekspert,
Digivaldkonna eelarve ekspert (2 FTE)</t>
  </si>
  <si>
    <t>Kogukond/RIA</t>
  </si>
  <si>
    <t>Digipööre</t>
  </si>
  <si>
    <t>Digipöörete valdkonnajuht, Digiriigi arengu strateegiaekspert (2FTE)</t>
  </si>
  <si>
    <t xml:space="preserve">*Rahastamisotsused tingimusega – 
RIT - Turuplatsi platvormi arendamine - koostada enne süsteemi arendamist ülevaade juba kasutada olevatest turuplatsi lahendustest ning EL ühishanke võimalustest ning esitada see asekantslerile kinnitamiseks
RMIT - Registrite valmisolek piiriüleseks andmevahetuseks (eMTA jaoks) - Tingimus on täidetud kui Rahandusministeeriumi Infotehnoloogiakeskus lisatakse käskkirja partnerina.
</t>
  </si>
  <si>
    <t>2023 Summa kokku</t>
  </si>
  <si>
    <t>Investeering (KM-ga)</t>
  </si>
  <si>
    <t>Investeering (ilma KM)</t>
  </si>
  <si>
    <t>Majandamiskulu (KM-ga)</t>
  </si>
  <si>
    <t>Majandamiskulu (ilma KM)</t>
  </si>
  <si>
    <t>Tööjõukulu</t>
  </si>
  <si>
    <t>Tehnoloogilise võla likvideerimise jätkutööd</t>
  </si>
  <si>
    <t>Personaliseeritud ja proaktiivne iseteenindus</t>
  </si>
  <si>
    <t>Riiklik postkast 2.0</t>
  </si>
  <si>
    <t>mRIIK</t>
  </si>
  <si>
    <t>ATK Tiimi loomine</t>
  </si>
  <si>
    <t>Riigipilv 2.0</t>
  </si>
  <si>
    <t>Avalike Pilvede strateegia</t>
  </si>
  <si>
    <t>Riigi Piiratud võrgu alustaristu</t>
  </si>
  <si>
    <t>Riigi IAM</t>
  </si>
  <si>
    <t>CDOC2 - krüpteerimine Mobiil-ID ja Smart-IDga</t>
  </si>
  <si>
    <t>CDOC2.0 - Pikaajalise salastamise tugi - II etapp</t>
  </si>
  <si>
    <t>Arhiveerimise ajatempliga allkirja (LTA) vormingu tugi</t>
  </si>
  <si>
    <t>SDG: Piiriülese ligipääsu tagamine liikmesriikide teenustele ja tõenditele</t>
  </si>
  <si>
    <t>Kogukonna taaskasutusteenuste teenusehaldur (+1FTE)</t>
  </si>
  <si>
    <t>Digiriigi akadeemia teenuse osutamine ja arendamine</t>
  </si>
  <si>
    <t>Digiteadlikkuse kasvatamine</t>
  </si>
  <si>
    <t>Pädevuste ja digiriigi kogukonna arendamine</t>
  </si>
  <si>
    <t>CERT-EE kogukonnaüritustega jätkamine</t>
  </si>
  <si>
    <t>ETO/OTOde turvalisuse mõõtmine ja tõstmine</t>
  </si>
  <si>
    <t>Kratikava elluviimine asutuste toetamise läbi: kratitoe portfell</t>
  </si>
  <si>
    <t>Kratikava elluviimine KOVide toetamise läbi</t>
  </si>
  <si>
    <t>Keeletehnoloogia kratijuppide arendused ja analüüsid</t>
  </si>
  <si>
    <t>Andmete teabevärava ja andmehalduse töövahendite kliendikeskne pakkumine (1FTE)</t>
  </si>
  <si>
    <t>Koolitused ja üritused</t>
  </si>
  <si>
    <t xml:space="preserve">Andmemajanduse turuväärtuse hindamise metoodika koostamine ja hinnangu läbiviimine </t>
  </si>
  <si>
    <t>Digitipud 2.0</t>
  </si>
  <si>
    <t>Digikukru ärianalüüs ja arendus MVP,  mRiigi mobiilirakendusega liidestamise ja digitaalsete tõendite salvestamise tehnilise võimekuse loomine testkeskkonnas</t>
  </si>
  <si>
    <t>RIA iseteenindusportaal eID kesksete teenuste näitel - Etapp 1 (analüüsiprojekt)</t>
  </si>
  <si>
    <t>Artiklivaramu üleriikliku juurutamise analüüs</t>
  </si>
  <si>
    <t>Veera jätkuarendustööd</t>
  </si>
  <si>
    <t>2025 lisanduv vajadus</t>
  </si>
  <si>
    <t>Access Point (SDG)</t>
  </si>
  <si>
    <t>Päringute keskkond (SDG)</t>
  </si>
  <si>
    <t>2024 GO-otsused</t>
  </si>
  <si>
    <t>2023 tegelik</t>
  </si>
  <si>
    <t>2024 tegelik</t>
  </si>
  <si>
    <t>RAH-200***</t>
  </si>
  <si>
    <t>***RAH-200</t>
  </si>
  <si>
    <t xml:space="preserve"> RAH-55**</t>
  </si>
  <si>
    <t>SDG*</t>
  </si>
  <si>
    <t>****</t>
  </si>
  <si>
    <t xml:space="preserve">**RAH-55 </t>
  </si>
  <si>
    <t>SDG08*</t>
  </si>
  <si>
    <t>SDG02*</t>
  </si>
  <si>
    <t>SDG01*</t>
  </si>
  <si>
    <t>SDG13*</t>
  </si>
  <si>
    <t>SDG07*</t>
  </si>
  <si>
    <t>SDG11*</t>
  </si>
  <si>
    <t>SDG03*</t>
  </si>
  <si>
    <t>SDG10*</t>
  </si>
  <si>
    <t>SDG05*</t>
  </si>
  <si>
    <t>SDG06*</t>
  </si>
  <si>
    <t>SDG12*</t>
  </si>
  <si>
    <t>SDG09*</t>
  </si>
  <si>
    <t>SDG04*</t>
  </si>
  <si>
    <t xml:space="preserve"> RAH-118/238*</t>
  </si>
  <si>
    <t xml:space="preserve"> RAH-118/238* </t>
  </si>
  <si>
    <t>Tegelik****</t>
  </si>
  <si>
    <t>RIK</t>
  </si>
  <si>
    <t>2024 GO - otsusega summa, mis tuuakse üle 2025 aastasse (2024 aastal kasutamata vahendid), lisandub erand (**), kus 2023 aasta kulu majanduslik sisu muutus</t>
  </si>
  <si>
    <t>2023-2025</t>
  </si>
  <si>
    <t>Kõik</t>
  </si>
  <si>
    <t>Jääb kasutamata****</t>
  </si>
  <si>
    <t>2024 jääb kasutamata</t>
  </si>
  <si>
    <t>Tegevust ei tehtud</t>
  </si>
  <si>
    <t>Registrite valmisolek piiriüleseks andmevahetuseks (PTA)</t>
  </si>
  <si>
    <t>Registrite valmisolek piiriüleseks andmevahetuseks (Äriregister)</t>
  </si>
  <si>
    <t>Registrite valmisolek piiriüleseks andmevahetuseks (eMTA)</t>
  </si>
  <si>
    <t>Registrite valmisolek piiriüleseks andmevahetuseks (RAM)</t>
  </si>
  <si>
    <t>Registrite valmisolek piiriüleseks andmevahetuseks (SIM)</t>
  </si>
  <si>
    <t>Registrite valmisolek piiriüleseks andmevahetuseks (Ravimiamet)</t>
  </si>
  <si>
    <t>Registrite valmisolek piiriüleseks andmevahetuseks (SKA)</t>
  </si>
  <si>
    <t>Registrite valmisolek piiriüleseks andmevahetuseks (Terviseamet)</t>
  </si>
  <si>
    <t>*(6)</t>
  </si>
  <si>
    <t>*(5)</t>
  </si>
  <si>
    <t>TARISTU06*(5)</t>
  </si>
  <si>
    <t>JA0-SF-TURUPLATS*(6)</t>
  </si>
  <si>
    <t>JA0-SF-TURUPLATS*(7)</t>
  </si>
  <si>
    <t>JA0-SF-TURUPLATS*(8)</t>
  </si>
  <si>
    <t>*(7)</t>
  </si>
  <si>
    <t>*(8)</t>
  </si>
  <si>
    <t>5000 eurot kasutamiseks. Ülejäänud vahendid suunatakse reservi, vahendite kasutamiseks vajalik asekantsleri nõusolek.</t>
  </si>
  <si>
    <t>Vahendid suunatud reservi, vahendite kasutamiseks vajalik asekantsleri nõusolek.</t>
  </si>
  <si>
    <t>99 159 eurot kasutamiseks. Ülejäänud vahendid suunatakse reservi, vahendite kasutamiseks vajalik asekantsleri nõusolek.</t>
  </si>
  <si>
    <t>Vahendid suunatakse reservi, vajalik Digipöörde Nõukogu positiivne otsus.</t>
  </si>
  <si>
    <t>Planeeritud on SDG rahaliste vahendite tõstmine Valdkondlikesse Digipööretesse, kehtib alates 01.01.2025. Täpsem konseptsioon esitatakse MKM-i poolt.</t>
  </si>
  <si>
    <t>Käibemaksuga 24%</t>
  </si>
  <si>
    <t>*(9)</t>
  </si>
  <si>
    <t xml:space="preserve"> RAH-212 *(9)</t>
  </si>
  <si>
    <t xml:space="preserve"> RAH-212</t>
  </si>
  <si>
    <t>Tegevus ise osutus planeeritust kallimaks. 2024 aasta lisavahendid 3773 eurot.</t>
  </si>
  <si>
    <t>*(10)</t>
  </si>
  <si>
    <t>Tegevus ise osutus planeeritust kallimaks. 2023 aasta lisavahendid 665 eurot.</t>
  </si>
  <si>
    <t>Personaalriigi osakond</t>
  </si>
  <si>
    <t>*(11)</t>
  </si>
  <si>
    <t>Varasemate aastate otsuse parandus. 2023 aasta lisavahendid 8537 eurot.</t>
  </si>
  <si>
    <t xml:space="preserve"> RAH-118*(11)</t>
  </si>
  <si>
    <t xml:space="preserve"> RAH-258*(10)</t>
  </si>
  <si>
    <t>Andmeteenuste kataloog (SDG)</t>
  </si>
  <si>
    <t>Eelvaateala (SDG)</t>
  </si>
  <si>
    <t>Üle****</t>
  </si>
  <si>
    <t>Täpsustamisel, mõjutab nii tegelikku seisu, kasutamata jäänud vahendeid (24), kui ka ülekantavaid vahendeid (24). Selle põhjuseks võivad olla majandusliku sisu muutused, veel esitamata kulud või muud täpsustamist vajavad asjaolud. Korrigeerimine toimub jooksvalt.</t>
  </si>
  <si>
    <t>Digiriigi Akadeemia platvormi arendamine</t>
  </si>
  <si>
    <t>Digiriigi Akadeemia platvorm</t>
  </si>
  <si>
    <t>2025 aastal tegevusi ei tehta. Varasemate otsuste parandus ja muutus majanduslik sisu 496 272 eurot.</t>
  </si>
  <si>
    <t>2025 aastal tegevusi ei tehta. Tegevus ise osutus planeeritust kallimaks 28469 eurot.</t>
  </si>
  <si>
    <t>TEENUS04</t>
  </si>
  <si>
    <t>Disainisüsteemi (TEDI) arendamine üleriiklikuks disainisüsteemiks</t>
  </si>
  <si>
    <t>Disainisüsteemi riigiülese juhtimismudeli välja töötamine ja juurutamine</t>
  </si>
  <si>
    <t>Teenuse standardi juurutamine</t>
  </si>
  <si>
    <t>Teenuse juhtimise ja arendamise seminarid</t>
  </si>
  <si>
    <t>TARISTUX1</t>
  </si>
  <si>
    <t>ANDMEDX2</t>
  </si>
  <si>
    <t>*(12)</t>
  </si>
  <si>
    <t>*(13)</t>
  </si>
  <si>
    <t>Tegevus ise osutus planeeritust kallimaks. Sh 2024 aasta lisavahendid  4207 eurot.</t>
  </si>
  <si>
    <t>Tegevus ise osutus planeeritust kallimaks. Sh 2024 aasta lisavahendid  5496 eurot.</t>
  </si>
  <si>
    <t>OSKUS05 *(12)</t>
  </si>
  <si>
    <t>OSKUS08 *(13)</t>
  </si>
  <si>
    <t>Tegevus lõpetatud 15.08.25</t>
  </si>
  <si>
    <t>TEENUS03J</t>
  </si>
  <si>
    <t>SDG05</t>
  </si>
  <si>
    <t>SDG07</t>
  </si>
  <si>
    <t>SDG03</t>
  </si>
  <si>
    <t>*(14)</t>
  </si>
  <si>
    <t>15 - investeering *(14)</t>
  </si>
  <si>
    <t>55-majandamiskulu *(14)</t>
  </si>
  <si>
    <t>11.12.2025 DN otsusega lubatud jääkide ülekandmine järgmisesse aastasse. Jäägi fikseerimine toimub 2026. aasta II kvartalis.</t>
  </si>
  <si>
    <t>DGA määruse rakendamine ja Tehisintellekti määruse rakendamine</t>
  </si>
  <si>
    <t>s.o otsust muudetud</t>
  </si>
  <si>
    <t>Investeering</t>
  </si>
  <si>
    <t>Majandamiskulu</t>
  </si>
  <si>
    <t>Üksus</t>
  </si>
  <si>
    <t>Tegevuse nimetus</t>
  </si>
  <si>
    <t>Küber</t>
  </si>
  <si>
    <t>KUBER02</t>
  </si>
  <si>
    <t>Küberkerksuse määruse rakendamine</t>
  </si>
  <si>
    <t>KVT</t>
  </si>
  <si>
    <t>Riigi IT-teemaline podcast "Olukorrast digiriigis"</t>
  </si>
  <si>
    <t>KOGUK07</t>
  </si>
  <si>
    <t>Tehisaru konverents</t>
  </si>
  <si>
    <t>KOGUK08</t>
  </si>
  <si>
    <t>Eesti Digiauhinnad 2026</t>
  </si>
  <si>
    <t>Projektijuht (1 FTE): digiriigi keskne koordinatsioon, sh riik kui IT-tööandja, ökosüsteem, koolitused</t>
  </si>
  <si>
    <t>Projektijuht (1 FTE):digikompetentsid, sh Digiriigi Akadeemia platvorm</t>
  </si>
  <si>
    <t>OSKUS13</t>
  </si>
  <si>
    <t>Digiriigi ökosüsteemi/ kogukonna koordinaator (1FTE allasutuses)</t>
  </si>
  <si>
    <t>IKT juhtimisraamistiku finantsjuhtimise ekspert (1 FTE), RÜKT projektijuht (1 FTE)</t>
  </si>
  <si>
    <t>Strateegiapäevade korraldamine, Digiriigi arengu strateegiaekspert (1 FTE)</t>
  </si>
  <si>
    <t>TEENUS05</t>
  </si>
  <si>
    <t>Avalike otseste teenuste kasutajate rahulolu mõõtmise metoodikate kaardistamine ja ühtlustamine</t>
  </si>
  <si>
    <t>TEENUS06</t>
  </si>
  <si>
    <t>Keskne defineerimine ja fikseerimine</t>
  </si>
  <si>
    <t>RAH-118/238</t>
  </si>
  <si>
    <t>EL ühtse digivärava platvorm (SDG)</t>
  </si>
  <si>
    <t>RAH-245</t>
  </si>
  <si>
    <t>Andmete teabevärava tööjõukulu</t>
  </si>
  <si>
    <t>RAH-257/271</t>
  </si>
  <si>
    <t>RAH-2601</t>
  </si>
  <si>
    <t>Andme talituse juhi tööjõukulu</t>
  </si>
  <si>
    <t>RAH-2602</t>
  </si>
  <si>
    <t>Andmete teabevärava teenusehalduri tööjõukulu</t>
  </si>
  <si>
    <t>RAH-2603</t>
  </si>
  <si>
    <t>Andmete teabevärava arendamine</t>
  </si>
  <si>
    <t>RAH-2604</t>
  </si>
  <si>
    <t>Andmehalduse rakenduse RIHAKE arendamine</t>
  </si>
  <si>
    <t>RAH-MKM/271</t>
  </si>
  <si>
    <t>Funktsioonivaramu arendus</t>
  </si>
  <si>
    <t>RAH-164</t>
  </si>
  <si>
    <t>SF-CDOC2.0 - Pikaajalise salastamise tugi - II etapp</t>
  </si>
  <si>
    <t>RAH-212</t>
  </si>
  <si>
    <t>CDOC2 - krüpteerimine Mobiil-ID ja Smart-Idga</t>
  </si>
  <si>
    <t>RAH-269</t>
  </si>
  <si>
    <t>RAH-296</t>
  </si>
  <si>
    <t>Digikukru analüüsid + RIA-le lisanduvate uute ülesannete ametikohtade loomine</t>
  </si>
  <si>
    <t>Juhtimiskeskuse osakond</t>
  </si>
  <si>
    <t>RAH-2609</t>
  </si>
  <si>
    <t>SOC funktsionaalsuse riigiülene konsolideerimine</t>
  </si>
  <si>
    <t>RAH-2605</t>
  </si>
  <si>
    <t>Riikliku postkasti jätkuarendused</t>
  </si>
  <si>
    <t>RAH-2606</t>
  </si>
  <si>
    <t>Kesksete volituste haldamise infosüsteemi Pääsuke jätkuarendused</t>
  </si>
  <si>
    <t>RAH-2607</t>
  </si>
  <si>
    <t>Riigiportaali eesti.ee ja Eesti äpi jätkuarendused</t>
  </si>
  <si>
    <t>RAH-2608</t>
  </si>
  <si>
    <t>Vestlusrobotite võrgustiku jätkuarendused</t>
  </si>
  <si>
    <t>Digitaalse ühistöö võimestamine</t>
  </si>
  <si>
    <t>Mittestandardsete tööjaamade pakkumuse kujundamine</t>
  </si>
  <si>
    <t>Riigi piiratud võrgu ATK (PATK)</t>
  </si>
  <si>
    <t>JA0-SF-VARADE-BAAS</t>
  </si>
  <si>
    <t>Riigiülene IT-väikevahendite varahaldus</t>
  </si>
  <si>
    <t>JA0-SF-TI</t>
  </si>
  <si>
    <t>Avalike pilvteenuste vahendamine</t>
  </si>
  <si>
    <t>Õppused, kriisideks valmistumine</t>
  </si>
  <si>
    <t>Kokku:</t>
  </si>
  <si>
    <t>Andmetarkuse suurendamine ja kliendikeskse nähtavuse loomine TI abil</t>
  </si>
  <si>
    <t>Lisavajadus 2026</t>
  </si>
  <si>
    <t>11.12.2025 DN otsusega lubatud jääkide (2025. aasta investeering ja majandamiskulu) ülekandmine järgmisesse aastasse. Jäägi fikseerimine toimub 2026. aasta II kvartalis.</t>
  </si>
  <si>
    <t xml:space="preserve"> RAH-118/238</t>
  </si>
  <si>
    <t>SDG02</t>
  </si>
  <si>
    <t>REMITK</t>
  </si>
  <si>
    <t>DGA, DA ja Tehisintellekti määruse rakendamine</t>
  </si>
  <si>
    <t>Arvutitöökoht ja
Serverite alustaristu</t>
  </si>
  <si>
    <t>JA0-SF-AVALIK-PILV*</t>
  </si>
  <si>
    <t>*</t>
  </si>
  <si>
    <t>Kehtib korrektsioon vastavalt RTK 19.11.2025 otsusele nr 11.3-1/25/5288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</si>
</sst>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0\ &quot;€&quot;"/>
    <numFmt numFmtId="42" formatCode="_-* #,##0\ &quot;€&quot;_-;\-* #,##0\ &quot;€&quot;_-;_-* &quot;-&quot;\ &quot;€&quot;_-;_-@_-"/>
    <numFmt numFmtId="164" formatCode="#,##0\ &quot;€&quot;"/>
    <numFmt numFmtId="165" formatCode="_-[$€-2]\ * #,##0_-;\-[$€-2]\ * #,##0_-;_-[$€-2]\ * &quot;-&quot;??_-;_-@_-"/>
  </numFmts>
  <fonts count="9" x14ac:knownFonts="1">
    <font>
      <sz val="11"/>
      <color theme="1"/>
      <name val="Aptos Narrow"/>
      <family val="2"/>
      <charset val="186"/>
      <scheme val="minor"/>
    </font>
    <font>
      <b/>
      <sz val="11"/>
      <color theme="1"/>
      <name val="Aptos Narrow"/>
      <family val="2"/>
      <charset val="186"/>
      <scheme val="minor"/>
    </font>
    <font>
      <b/>
      <sz val="11"/>
      <color theme="1"/>
      <name val="Aptos Narrow"/>
      <family val="2"/>
      <scheme val="minor"/>
    </font>
    <font>
      <b/>
      <sz val="11"/>
      <color theme="0"/>
      <name val="Aptos Narrow"/>
      <family val="2"/>
      <charset val="186"/>
      <scheme val="minor"/>
    </font>
    <font>
      <b/>
      <i/>
      <sz val="11"/>
      <color theme="1"/>
      <name val="Aptos Narrow"/>
      <family val="2"/>
      <scheme val="minor"/>
    </font>
    <font>
      <sz val="11"/>
      <color rgb="FF000000"/>
      <name val="Aptos Narrow"/>
      <family val="2"/>
      <scheme val="minor"/>
    </font>
    <font>
      <sz val="8"/>
      <name val="Aptos Narrow"/>
      <family val="2"/>
      <charset val="186"/>
      <scheme val="minor"/>
    </font>
    <font>
      <b/>
      <sz val="11"/>
      <name val="Aptos Narrow"/>
    </font>
    <font>
      <b/>
      <sz val="11"/>
      <name val="Aptos Narrow"/>
      <family val="2"/>
    </font>
  </fonts>
  <fills count="17">
    <fill>
      <patternFill patternType="none"/>
    </fill>
    <fill>
      <patternFill patternType="gray125"/>
    </fill>
    <fill>
      <patternFill patternType="solid">
        <fgColor theme="4" tint="0.79998168889431442"/>
        <bgColor theme="4" tint="0.79998168889431442"/>
      </patternFill>
    </fill>
    <fill>
      <patternFill patternType="solid">
        <fgColor rgb="FF92D050"/>
        <bgColor theme="4" tint="0.79998168889431442"/>
      </patternFill>
    </fill>
    <fill>
      <patternFill patternType="solid">
        <fgColor rgb="FF92D050"/>
        <bgColor indexed="64"/>
      </patternFill>
    </fill>
    <fill>
      <patternFill patternType="solid">
        <fgColor rgb="FFFFC000"/>
        <bgColor theme="4" tint="0.79998168889431442"/>
      </patternFill>
    </fill>
    <fill>
      <patternFill patternType="solid">
        <fgColor rgb="FFFFC000"/>
        <bgColor indexed="64"/>
      </patternFill>
    </fill>
    <fill>
      <patternFill patternType="solid">
        <fgColor theme="5" tint="0.39997558519241921"/>
        <bgColor theme="4" tint="0.79998168889431442"/>
      </patternFill>
    </fill>
    <fill>
      <patternFill patternType="solid">
        <fgColor theme="5" tint="0.39997558519241921"/>
        <bgColor indexed="64"/>
      </patternFill>
    </fill>
    <fill>
      <patternFill patternType="solid">
        <fgColor theme="5" tint="0.59999389629810485"/>
        <bgColor theme="4" tint="0.79998168889431442"/>
      </patternFill>
    </fill>
    <fill>
      <patternFill patternType="solid">
        <fgColor theme="5" tint="0.59999389629810485"/>
        <bgColor indexed="64"/>
      </patternFill>
    </fill>
    <fill>
      <patternFill patternType="solid">
        <fgColor theme="7" tint="0.79998168889431442"/>
        <bgColor theme="4" tint="0.79998168889431442"/>
      </patternFill>
    </fill>
    <fill>
      <patternFill patternType="solid">
        <fgColor theme="7" tint="0.79998168889431442"/>
        <bgColor indexed="64"/>
      </patternFill>
    </fill>
    <fill>
      <patternFill patternType="solid">
        <fgColor theme="7" tint="0.59999389629810485"/>
        <bgColor theme="4" tint="0.79998168889431442"/>
      </patternFill>
    </fill>
    <fill>
      <patternFill patternType="solid">
        <fgColor theme="7" tint="0.59999389629810485"/>
        <bgColor indexed="64"/>
      </patternFill>
    </fill>
    <fill>
      <patternFill patternType="solid">
        <fgColor rgb="FFFFFF00"/>
        <bgColor indexed="64"/>
      </patternFill>
    </fill>
    <fill>
      <patternFill patternType="solid">
        <fgColor theme="4"/>
        <bgColor theme="4"/>
      </patternFill>
    </fill>
  </fills>
  <borders count="40">
    <border>
      <left/>
      <right/>
      <top/>
      <bottom/>
      <diagonal/>
    </border>
    <border>
      <left/>
      <right/>
      <top/>
      <bottom style="thin">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theme="4" tint="0.39997558519241921"/>
      </bottom>
      <diagonal/>
    </border>
    <border>
      <left style="thin">
        <color indexed="64"/>
      </left>
      <right/>
      <top/>
      <bottom/>
      <diagonal/>
    </border>
    <border>
      <left style="thin">
        <color indexed="64"/>
      </left>
      <right/>
      <top style="thin">
        <color indexed="64"/>
      </top>
      <bottom style="double">
        <color indexed="64"/>
      </bottom>
      <diagonal/>
    </border>
    <border>
      <left/>
      <right style="thin">
        <color indexed="64"/>
      </right>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right style="thick">
        <color indexed="64"/>
      </right>
      <top/>
      <bottom/>
      <diagonal/>
    </border>
    <border>
      <left style="thick">
        <color indexed="64"/>
      </left>
      <right/>
      <top/>
      <bottom/>
      <diagonal/>
    </border>
    <border>
      <left style="thin">
        <color indexed="64"/>
      </left>
      <right style="thin">
        <color indexed="64"/>
      </right>
      <top style="thin">
        <color theme="4"/>
      </top>
      <bottom/>
      <diagonal/>
    </border>
    <border>
      <left/>
      <right style="thin">
        <color indexed="64"/>
      </right>
      <top style="thin">
        <color theme="4"/>
      </top>
      <bottom/>
      <diagonal/>
    </border>
    <border>
      <left style="thin">
        <color indexed="64"/>
      </left>
      <right/>
      <top style="thin">
        <color indexed="64"/>
      </top>
      <bottom/>
      <diagonal/>
    </border>
    <border>
      <left/>
      <right/>
      <top style="thin">
        <color indexed="64"/>
      </top>
      <bottom/>
      <diagonal/>
    </border>
    <border>
      <left/>
      <right/>
      <top style="thin">
        <color theme="4"/>
      </top>
      <bottom/>
      <diagonal/>
    </border>
    <border>
      <left/>
      <right/>
      <top/>
      <bottom style="thin">
        <color indexed="64"/>
      </bottom>
      <diagonal/>
    </border>
    <border>
      <left/>
      <right style="thin">
        <color indexed="64"/>
      </right>
      <top/>
      <bottom style="thin">
        <color indexed="64"/>
      </bottom>
      <diagonal/>
    </border>
    <border>
      <left/>
      <right/>
      <top style="double">
        <color indexed="64"/>
      </top>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158">
    <xf numFmtId="0" fontId="0" fillId="0" borderId="0" xfId="0"/>
    <xf numFmtId="164" fontId="0" fillId="0" borderId="0" xfId="0" applyNumberFormat="1"/>
    <xf numFmtId="0" fontId="1" fillId="0" borderId="0" xfId="0" applyFont="1"/>
    <xf numFmtId="0" fontId="1" fillId="0" borderId="1" xfId="0" applyFont="1" applyBorder="1"/>
    <xf numFmtId="164" fontId="0" fillId="4" borderId="0" xfId="0" applyNumberFormat="1" applyFill="1" applyAlignment="1">
      <alignment horizontal="right" vertical="top"/>
    </xf>
    <xf numFmtId="164" fontId="0" fillId="6" borderId="0" xfId="0" applyNumberFormat="1" applyFill="1" applyAlignment="1">
      <alignment horizontal="right" vertical="top"/>
    </xf>
    <xf numFmtId="164" fontId="0" fillId="8" borderId="0" xfId="0" applyNumberFormat="1" applyFill="1" applyAlignment="1">
      <alignment horizontal="right" vertical="top"/>
    </xf>
    <xf numFmtId="164" fontId="0" fillId="10" borderId="0" xfId="0" applyNumberFormat="1" applyFill="1" applyAlignment="1">
      <alignment horizontal="right" vertical="top"/>
    </xf>
    <xf numFmtId="164" fontId="0" fillId="12" borderId="0" xfId="0" applyNumberFormat="1" applyFill="1" applyAlignment="1">
      <alignment horizontal="right" vertical="top"/>
    </xf>
    <xf numFmtId="164" fontId="0" fillId="14" borderId="0" xfId="0" applyNumberFormat="1" applyFill="1" applyAlignment="1">
      <alignment horizontal="right" vertical="top"/>
    </xf>
    <xf numFmtId="0" fontId="1" fillId="5" borderId="0" xfId="0" applyFont="1" applyFill="1" applyAlignment="1">
      <alignment horizontal="center"/>
    </xf>
    <xf numFmtId="0" fontId="1" fillId="7" borderId="0" xfId="0" applyFont="1" applyFill="1" applyAlignment="1">
      <alignment horizontal="center"/>
    </xf>
    <xf numFmtId="0" fontId="1" fillId="11" borderId="0" xfId="0" applyFont="1" applyFill="1" applyAlignment="1">
      <alignment horizontal="center"/>
    </xf>
    <xf numFmtId="0" fontId="1" fillId="13" borderId="0" xfId="0" applyFont="1" applyFill="1" applyAlignment="1">
      <alignment horizontal="center"/>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9" borderId="1" xfId="0" applyFont="1" applyFill="1" applyBorder="1" applyAlignment="1">
      <alignment horizontal="center"/>
    </xf>
    <xf numFmtId="0" fontId="1" fillId="11" borderId="1" xfId="0" applyFont="1" applyFill="1" applyBorder="1" applyAlignment="1">
      <alignment horizontal="center"/>
    </xf>
    <xf numFmtId="0" fontId="1" fillId="13" borderId="1" xfId="0" applyFont="1" applyFill="1" applyBorder="1" applyAlignment="1">
      <alignment horizontal="center"/>
    </xf>
    <xf numFmtId="0" fontId="1" fillId="2" borderId="5" xfId="0" applyFont="1" applyFill="1" applyBorder="1"/>
    <xf numFmtId="164" fontId="1" fillId="3" borderId="5" xfId="0" applyNumberFormat="1" applyFont="1" applyFill="1" applyBorder="1" applyAlignment="1">
      <alignment horizontal="right" vertical="top"/>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164" fontId="0" fillId="10" borderId="9" xfId="0" applyNumberFormat="1" applyFill="1" applyBorder="1" applyAlignment="1">
      <alignment horizontal="right" vertical="top"/>
    </xf>
    <xf numFmtId="0" fontId="1" fillId="7" borderId="8" xfId="0" applyFont="1" applyFill="1" applyBorder="1" applyAlignment="1">
      <alignment horizontal="center"/>
    </xf>
    <xf numFmtId="164" fontId="0" fillId="8" borderId="9" xfId="0" applyNumberFormat="1" applyFill="1" applyBorder="1" applyAlignment="1">
      <alignment horizontal="right" vertical="top"/>
    </xf>
    <xf numFmtId="164" fontId="2" fillId="10" borderId="5" xfId="0" applyNumberFormat="1" applyFont="1" applyFill="1" applyBorder="1" applyAlignment="1">
      <alignment horizontal="right" vertical="top"/>
    </xf>
    <xf numFmtId="164" fontId="2" fillId="10" borderId="10" xfId="0" applyNumberFormat="1" applyFont="1" applyFill="1" applyBorder="1" applyAlignment="1">
      <alignment horizontal="right" vertical="top"/>
    </xf>
    <xf numFmtId="164" fontId="2" fillId="12" borderId="5" xfId="0" applyNumberFormat="1" applyFont="1" applyFill="1" applyBorder="1" applyAlignment="1">
      <alignment horizontal="right" vertical="top"/>
    </xf>
    <xf numFmtId="164" fontId="2" fillId="14" borderId="5" xfId="0" applyNumberFormat="1" applyFont="1" applyFill="1" applyBorder="1" applyAlignment="1">
      <alignment horizontal="right" vertical="top"/>
    </xf>
    <xf numFmtId="0" fontId="0" fillId="15" borderId="0" xfId="0" applyFill="1"/>
    <xf numFmtId="0" fontId="1" fillId="9" borderId="11" xfId="0" applyFont="1" applyFill="1" applyBorder="1" applyAlignment="1">
      <alignment horizontal="center"/>
    </xf>
    <xf numFmtId="0" fontId="0" fillId="0" borderId="0" xfId="0" applyAlignment="1">
      <alignment wrapText="1"/>
    </xf>
    <xf numFmtId="0" fontId="0" fillId="0" borderId="2" xfId="0" applyBorder="1"/>
    <xf numFmtId="0" fontId="0" fillId="0" borderId="3" xfId="0" applyBorder="1"/>
    <xf numFmtId="0" fontId="0" fillId="0" borderId="3" xfId="0" applyBorder="1" applyAlignment="1">
      <alignment wrapText="1"/>
    </xf>
    <xf numFmtId="0" fontId="0" fillId="0" borderId="4" xfId="0" applyBorder="1" applyAlignment="1">
      <alignment wrapText="1"/>
    </xf>
    <xf numFmtId="0" fontId="1" fillId="0" borderId="0" xfId="0" applyFont="1" applyAlignment="1">
      <alignment wrapText="1"/>
    </xf>
    <xf numFmtId="0" fontId="1" fillId="0" borderId="6" xfId="0" applyFont="1" applyBorder="1" applyAlignment="1">
      <alignment wrapText="1"/>
    </xf>
    <xf numFmtId="0" fontId="1" fillId="0" borderId="13" xfId="0" applyFont="1" applyBorder="1"/>
    <xf numFmtId="0" fontId="1" fillId="0" borderId="13" xfId="0" applyFont="1" applyBorder="1" applyAlignment="1">
      <alignment wrapText="1"/>
    </xf>
    <xf numFmtId="0" fontId="1" fillId="0" borderId="14" xfId="0" applyFont="1" applyBorder="1" applyAlignment="1">
      <alignment horizontal="center" wrapText="1"/>
    </xf>
    <xf numFmtId="0" fontId="1" fillId="0" borderId="15" xfId="0" applyFont="1" applyBorder="1" applyAlignment="1">
      <alignment wrapText="1"/>
    </xf>
    <xf numFmtId="0" fontId="1" fillId="0" borderId="6" xfId="0" applyFont="1" applyBorder="1" applyAlignment="1">
      <alignment horizontal="center" wrapText="1"/>
    </xf>
    <xf numFmtId="0" fontId="0" fillId="0" borderId="0" xfId="0" applyAlignment="1">
      <alignment vertical="top"/>
    </xf>
    <xf numFmtId="165" fontId="5" fillId="0" borderId="0" xfId="0" applyNumberFormat="1" applyFont="1" applyAlignment="1">
      <alignment vertical="top"/>
    </xf>
    <xf numFmtId="165" fontId="5" fillId="0" borderId="0" xfId="0" applyNumberFormat="1" applyFont="1" applyAlignment="1">
      <alignment vertical="top" wrapText="1"/>
    </xf>
    <xf numFmtId="0" fontId="0" fillId="4" borderId="0" xfId="0" applyFill="1" applyAlignment="1">
      <alignment vertical="top" wrapText="1"/>
    </xf>
    <xf numFmtId="164" fontId="1" fillId="4" borderId="16" xfId="0" applyNumberFormat="1" applyFont="1" applyFill="1" applyBorder="1" applyAlignment="1">
      <alignment vertical="top"/>
    </xf>
    <xf numFmtId="164" fontId="0" fillId="4" borderId="17" xfId="0" applyNumberFormat="1" applyFill="1" applyBorder="1" applyAlignment="1">
      <alignment vertical="top"/>
    </xf>
    <xf numFmtId="164" fontId="0" fillId="4" borderId="17" xfId="0" applyNumberFormat="1" applyFill="1" applyBorder="1" applyAlignment="1">
      <alignment vertical="top" wrapText="1"/>
    </xf>
    <xf numFmtId="164" fontId="0" fillId="4" borderId="18" xfId="0" applyNumberFormat="1" applyFill="1" applyBorder="1" applyAlignment="1">
      <alignment vertical="top"/>
    </xf>
    <xf numFmtId="42" fontId="0" fillId="4" borderId="0" xfId="0" applyNumberFormat="1" applyFill="1" applyAlignment="1">
      <alignment vertical="top"/>
    </xf>
    <xf numFmtId="42" fontId="0" fillId="4" borderId="19" xfId="0" applyNumberFormat="1" applyFill="1" applyBorder="1" applyAlignment="1">
      <alignment vertical="top"/>
    </xf>
    <xf numFmtId="42" fontId="0" fillId="4" borderId="20" xfId="0" applyNumberFormat="1" applyFill="1" applyBorder="1" applyAlignment="1">
      <alignment vertical="top"/>
    </xf>
    <xf numFmtId="42" fontId="0" fillId="4" borderId="21" xfId="0" applyNumberFormat="1" applyFill="1" applyBorder="1" applyAlignment="1">
      <alignment vertical="top"/>
    </xf>
    <xf numFmtId="164" fontId="1" fillId="4" borderId="22" xfId="0" applyNumberFormat="1" applyFont="1" applyFill="1" applyBorder="1" applyAlignment="1">
      <alignment vertical="top"/>
    </xf>
    <xf numFmtId="164" fontId="0" fillId="4" borderId="13" xfId="0" applyNumberFormat="1" applyFill="1" applyBorder="1" applyAlignment="1">
      <alignment vertical="top"/>
    </xf>
    <xf numFmtId="164" fontId="0" fillId="4" borderId="23" xfId="0" applyNumberFormat="1" applyFill="1" applyBorder="1" applyAlignment="1">
      <alignment vertical="top"/>
    </xf>
    <xf numFmtId="42" fontId="0" fillId="4" borderId="24" xfId="0" applyNumberFormat="1" applyFill="1" applyBorder="1" applyAlignment="1">
      <alignment vertical="top"/>
    </xf>
    <xf numFmtId="42" fontId="0" fillId="4" borderId="25" xfId="0" applyNumberFormat="1" applyFill="1" applyBorder="1" applyAlignment="1">
      <alignment vertical="top"/>
    </xf>
    <xf numFmtId="0" fontId="0" fillId="15" borderId="0" xfId="0" applyFill="1" applyAlignment="1">
      <alignment vertical="top" wrapText="1"/>
    </xf>
    <xf numFmtId="164" fontId="1" fillId="15" borderId="22" xfId="0" applyNumberFormat="1" applyFont="1" applyFill="1" applyBorder="1" applyAlignment="1">
      <alignment vertical="top"/>
    </xf>
    <xf numFmtId="164" fontId="0" fillId="15" borderId="13" xfId="0" applyNumberFormat="1" applyFill="1" applyBorder="1" applyAlignment="1">
      <alignment vertical="top"/>
    </xf>
    <xf numFmtId="164" fontId="0" fillId="15" borderId="23" xfId="0" applyNumberFormat="1" applyFill="1" applyBorder="1" applyAlignment="1">
      <alignment vertical="top"/>
    </xf>
    <xf numFmtId="42" fontId="0" fillId="15" borderId="0" xfId="0" applyNumberFormat="1" applyFill="1" applyAlignment="1">
      <alignment vertical="top"/>
    </xf>
    <xf numFmtId="42" fontId="0" fillId="15" borderId="24" xfId="0" applyNumberFormat="1" applyFill="1" applyBorder="1" applyAlignment="1">
      <alignment vertical="top"/>
    </xf>
    <xf numFmtId="42" fontId="0" fillId="15" borderId="25" xfId="0" applyNumberFormat="1" applyFill="1" applyBorder="1" applyAlignment="1">
      <alignment vertical="top"/>
    </xf>
    <xf numFmtId="165" fontId="0" fillId="0" borderId="0" xfId="0" applyNumberFormat="1"/>
    <xf numFmtId="165" fontId="0" fillId="0" borderId="0" xfId="0" applyNumberFormat="1" applyAlignment="1">
      <alignment wrapText="1"/>
    </xf>
    <xf numFmtId="164" fontId="1" fillId="0" borderId="6" xfId="0" applyNumberFormat="1" applyFont="1" applyBorder="1"/>
    <xf numFmtId="164" fontId="0" fillId="0" borderId="6" xfId="0" applyNumberFormat="1" applyBorder="1"/>
    <xf numFmtId="0" fontId="3" fillId="16" borderId="26" xfId="0" applyFont="1" applyFill="1" applyBorder="1" applyAlignment="1">
      <alignment vertical="top" wrapText="1"/>
    </xf>
    <xf numFmtId="0" fontId="3" fillId="16" borderId="27" xfId="0" applyFont="1" applyFill="1" applyBorder="1" applyAlignment="1">
      <alignment vertical="top"/>
    </xf>
    <xf numFmtId="0" fontId="3" fillId="16" borderId="27" xfId="0" applyFont="1" applyFill="1" applyBorder="1" applyAlignment="1">
      <alignment vertical="top" wrapText="1"/>
    </xf>
    <xf numFmtId="0" fontId="3" fillId="16" borderId="26" xfId="0" applyFont="1" applyFill="1" applyBorder="1" applyAlignment="1">
      <alignment horizontal="center" vertical="top" wrapText="1"/>
    </xf>
    <xf numFmtId="0" fontId="0" fillId="0" borderId="6" xfId="0" applyBorder="1"/>
    <xf numFmtId="0" fontId="0" fillId="0" borderId="13" xfId="0" applyBorder="1"/>
    <xf numFmtId="0" fontId="0" fillId="0" borderId="29" xfId="0" applyBorder="1"/>
    <xf numFmtId="0" fontId="0" fillId="4" borderId="0" xfId="0" applyFill="1" applyAlignment="1">
      <alignment wrapText="1"/>
    </xf>
    <xf numFmtId="165" fontId="1" fillId="4" borderId="0" xfId="0" applyNumberFormat="1" applyFont="1" applyFill="1"/>
    <xf numFmtId="165" fontId="0" fillId="4" borderId="0" xfId="0" applyNumberFormat="1" applyFill="1"/>
    <xf numFmtId="0" fontId="0" fillId="4" borderId="0" xfId="0" applyFill="1"/>
    <xf numFmtId="165" fontId="1" fillId="15" borderId="0" xfId="0" applyNumberFormat="1" applyFont="1" applyFill="1"/>
    <xf numFmtId="165" fontId="0" fillId="15" borderId="0" xfId="0" applyNumberFormat="1" applyFill="1"/>
    <xf numFmtId="0" fontId="0" fillId="4" borderId="30" xfId="0" applyFill="1" applyBorder="1"/>
    <xf numFmtId="165" fontId="0" fillId="0" borderId="29" xfId="0" applyNumberFormat="1" applyBorder="1"/>
    <xf numFmtId="165" fontId="1" fillId="0" borderId="29" xfId="0" applyNumberFormat="1" applyFont="1" applyBorder="1"/>
    <xf numFmtId="0" fontId="2" fillId="0" borderId="12" xfId="0" applyFont="1" applyBorder="1" applyAlignment="1">
      <alignment horizontal="center" vertical="center"/>
    </xf>
    <xf numFmtId="0" fontId="2" fillId="0" borderId="31" xfId="0" applyFont="1" applyBorder="1" applyAlignment="1">
      <alignment horizontal="center" vertical="center"/>
    </xf>
    <xf numFmtId="0" fontId="4" fillId="0" borderId="0" xfId="0" applyFont="1" applyAlignment="1">
      <alignment vertical="top"/>
    </xf>
    <xf numFmtId="0" fontId="2" fillId="3" borderId="0" xfId="0" applyFont="1" applyFill="1" applyAlignment="1">
      <alignment vertical="center"/>
    </xf>
    <xf numFmtId="0" fontId="2" fillId="3" borderId="1" xfId="0" applyFont="1" applyFill="1" applyBorder="1" applyAlignment="1">
      <alignment vertical="center"/>
    </xf>
    <xf numFmtId="164" fontId="2" fillId="6" borderId="29" xfId="0" applyNumberFormat="1" applyFont="1" applyFill="1" applyBorder="1" applyAlignment="1">
      <alignment horizontal="right" vertical="top"/>
    </xf>
    <xf numFmtId="164" fontId="2" fillId="8" borderId="29" xfId="0" applyNumberFormat="1" applyFont="1" applyFill="1" applyBorder="1" applyAlignment="1">
      <alignment horizontal="right" vertical="top"/>
    </xf>
    <xf numFmtId="164" fontId="2" fillId="8" borderId="28" xfId="0" applyNumberFormat="1" applyFont="1" applyFill="1" applyBorder="1" applyAlignment="1">
      <alignment horizontal="right" vertical="top"/>
    </xf>
    <xf numFmtId="0" fontId="1" fillId="3" borderId="38" xfId="0" applyFont="1" applyFill="1" applyBorder="1" applyAlignment="1">
      <alignment horizontal="center" vertical="center"/>
    </xf>
    <xf numFmtId="0" fontId="1" fillId="13" borderId="8" xfId="0" applyFont="1" applyFill="1" applyBorder="1" applyAlignment="1">
      <alignment horizontal="center"/>
    </xf>
    <xf numFmtId="164" fontId="0" fillId="14" borderId="9" xfId="0" applyNumberFormat="1" applyFill="1" applyBorder="1" applyAlignment="1">
      <alignment horizontal="right" vertical="top"/>
    </xf>
    <xf numFmtId="164" fontId="2" fillId="14" borderId="10" xfId="0" applyNumberFormat="1" applyFont="1" applyFill="1" applyBorder="1" applyAlignment="1">
      <alignment horizontal="right" vertical="top"/>
    </xf>
    <xf numFmtId="164" fontId="0" fillId="4" borderId="28" xfId="0" applyNumberFormat="1" applyFill="1" applyBorder="1" applyAlignment="1">
      <alignment horizontal="right" vertical="top"/>
    </xf>
    <xf numFmtId="164" fontId="0" fillId="4" borderId="9" xfId="0" applyNumberFormat="1" applyFill="1" applyBorder="1" applyAlignment="1">
      <alignment horizontal="right" vertical="top"/>
    </xf>
    <xf numFmtId="164" fontId="1" fillId="3" borderId="10" xfId="0" applyNumberFormat="1" applyFont="1" applyFill="1" applyBorder="1" applyAlignment="1">
      <alignment horizontal="right" vertical="top"/>
    </xf>
    <xf numFmtId="0" fontId="2" fillId="0" borderId="0" xfId="0" applyFont="1"/>
    <xf numFmtId="2" fontId="0" fillId="0" borderId="0" xfId="0" applyNumberFormat="1"/>
    <xf numFmtId="0" fontId="1" fillId="6" borderId="0" xfId="0" applyFont="1" applyFill="1"/>
    <xf numFmtId="0" fontId="0" fillId="6" borderId="0" xfId="0" applyFill="1"/>
    <xf numFmtId="164" fontId="0" fillId="6" borderId="0" xfId="0" applyNumberFormat="1" applyFill="1"/>
    <xf numFmtId="5" fontId="0" fillId="0" borderId="0" xfId="0" applyNumberFormat="1"/>
    <xf numFmtId="5" fontId="7" fillId="0" borderId="0" xfId="0" applyNumberFormat="1" applyFont="1"/>
    <xf numFmtId="0" fontId="2" fillId="0" borderId="5" xfId="0" applyFont="1" applyBorder="1"/>
    <xf numFmtId="5" fontId="2" fillId="0" borderId="5" xfId="0" applyNumberFormat="1" applyFont="1" applyBorder="1"/>
    <xf numFmtId="0" fontId="2" fillId="0" borderId="5" xfId="0" applyFont="1" applyBorder="1" applyAlignment="1">
      <alignment horizontal="right"/>
    </xf>
    <xf numFmtId="0" fontId="2" fillId="0" borderId="5" xfId="0" applyFont="1" applyBorder="1" applyAlignment="1">
      <alignment horizontal="left"/>
    </xf>
    <xf numFmtId="0" fontId="2" fillId="0" borderId="10" xfId="0" applyFont="1" applyBorder="1" applyAlignment="1">
      <alignment horizontal="center"/>
    </xf>
    <xf numFmtId="0" fontId="2" fillId="0" borderId="5" xfId="0" applyFont="1" applyBorder="1" applyAlignment="1">
      <alignment horizontal="center"/>
    </xf>
    <xf numFmtId="0" fontId="8" fillId="0" borderId="37" xfId="0" applyFont="1" applyBorder="1" applyAlignment="1">
      <alignment horizontal="center"/>
    </xf>
    <xf numFmtId="5" fontId="8" fillId="0" borderId="0" xfId="0" applyNumberFormat="1" applyFont="1"/>
    <xf numFmtId="0" fontId="2" fillId="6" borderId="0" xfId="0" applyFont="1" applyFill="1"/>
    <xf numFmtId="0" fontId="0" fillId="0" borderId="0" xfId="0" applyAlignment="1">
      <alignment vertical="top" wrapText="1"/>
    </xf>
    <xf numFmtId="0" fontId="2" fillId="0" borderId="28" xfId="0" applyFont="1" applyBorder="1" applyAlignment="1">
      <alignment horizontal="center" vertical="top"/>
    </xf>
    <xf numFmtId="0" fontId="2" fillId="0" borderId="29" xfId="0" applyFont="1" applyBorder="1" applyAlignment="1">
      <alignment horizontal="center" vertical="top"/>
    </xf>
    <xf numFmtId="0" fontId="2" fillId="0" borderId="39" xfId="0" applyFont="1" applyBorder="1" applyAlignment="1">
      <alignment horizontal="center" vertical="top"/>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164" fontId="2" fillId="6" borderId="5" xfId="0" applyNumberFormat="1" applyFont="1" applyFill="1" applyBorder="1" applyAlignment="1">
      <alignment horizontal="center" vertical="top"/>
    </xf>
    <xf numFmtId="164" fontId="2" fillId="8" borderId="5" xfId="0" applyNumberFormat="1" applyFont="1" applyFill="1" applyBorder="1" applyAlignment="1">
      <alignment horizontal="center" vertical="top"/>
    </xf>
    <xf numFmtId="164" fontId="2" fillId="8" borderId="37" xfId="0" applyNumberFormat="1" applyFont="1" applyFill="1" applyBorder="1" applyAlignment="1">
      <alignment horizontal="center" vertical="top"/>
    </xf>
    <xf numFmtId="164" fontId="2" fillId="8" borderId="10" xfId="0" applyNumberFormat="1" applyFont="1" applyFill="1" applyBorder="1" applyAlignment="1">
      <alignment horizontal="center" vertical="top"/>
    </xf>
    <xf numFmtId="164" fontId="2" fillId="10" borderId="34" xfId="0" applyNumberFormat="1" applyFont="1" applyFill="1" applyBorder="1" applyAlignment="1">
      <alignment horizontal="center" vertical="top"/>
    </xf>
    <xf numFmtId="164" fontId="2" fillId="10" borderId="36" xfId="0" applyNumberFormat="1" applyFont="1" applyFill="1" applyBorder="1" applyAlignment="1">
      <alignment horizontal="center" vertical="top"/>
    </xf>
    <xf numFmtId="164" fontId="2" fillId="10" borderId="35" xfId="0" applyNumberFormat="1" applyFont="1" applyFill="1" applyBorder="1" applyAlignment="1">
      <alignment horizontal="center" vertical="top"/>
    </xf>
    <xf numFmtId="0" fontId="0" fillId="0" borderId="33" xfId="0" applyBorder="1" applyAlignment="1">
      <alignment horizontal="center"/>
    </xf>
    <xf numFmtId="0" fontId="1" fillId="7" borderId="29" xfId="0" applyFont="1" applyFill="1" applyBorder="1" applyAlignment="1">
      <alignment horizontal="center"/>
    </xf>
    <xf numFmtId="0" fontId="1" fillId="9" borderId="0" xfId="0" applyFont="1" applyFill="1" applyAlignment="1">
      <alignment horizontal="center"/>
    </xf>
    <xf numFmtId="164" fontId="2" fillId="14" borderId="34" xfId="0" applyNumberFormat="1" applyFont="1" applyFill="1" applyBorder="1" applyAlignment="1">
      <alignment horizontal="center" vertical="top"/>
    </xf>
    <xf numFmtId="164" fontId="2" fillId="12" borderId="34" xfId="0" applyNumberFormat="1" applyFont="1" applyFill="1" applyBorder="1" applyAlignment="1">
      <alignment horizontal="center" vertical="top"/>
    </xf>
    <xf numFmtId="0" fontId="1" fillId="13" borderId="28" xfId="0" applyFont="1" applyFill="1" applyBorder="1" applyAlignment="1">
      <alignment horizontal="center"/>
    </xf>
    <xf numFmtId="0" fontId="1" fillId="13" borderId="29" xfId="0" applyFont="1" applyFill="1" applyBorder="1" applyAlignment="1">
      <alignment horizontal="center"/>
    </xf>
    <xf numFmtId="164" fontId="2" fillId="14" borderId="35" xfId="0" applyNumberFormat="1" applyFont="1" applyFill="1" applyBorder="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0" fontId="0" fillId="0" borderId="13" xfId="0" applyBorder="1" applyAlignment="1">
      <alignment horizontal="center" vertical="top"/>
    </xf>
    <xf numFmtId="0" fontId="0" fillId="0" borderId="9" xfId="0" applyBorder="1" applyAlignment="1">
      <alignment horizontal="center" vertical="top" wrapText="1"/>
    </xf>
    <xf numFmtId="0" fontId="0" fillId="0" borderId="0" xfId="0" applyAlignment="1">
      <alignment horizontal="center" vertical="top" wrapText="1"/>
    </xf>
    <xf numFmtId="0" fontId="0" fillId="0" borderId="13" xfId="0" applyBorder="1" applyAlignment="1">
      <alignment horizontal="center"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cellXfs>
  <cellStyles count="1">
    <cellStyle name="Normaallaad" xfId="0" builtinId="0"/>
  </cellStyles>
  <dxfs count="33">
    <dxf>
      <numFmt numFmtId="165" formatCode="_-[$€-2]\ * #,##0_-;\-[$€-2]\ * #,##0_-;_-[$€-2]\ * &quot;-&quot;??_-;_-@_-"/>
    </dxf>
    <dxf>
      <numFmt numFmtId="165" formatCode="_-[$€-2]\ * #,##0_-;\-[$€-2]\ * #,##0_-;_-[$€-2]\ * &quot;-&quot;??_-;_-@_-"/>
    </dxf>
    <dxf>
      <numFmt numFmtId="165" formatCode="_-[$€-2]\ * #,##0_-;\-[$€-2]\ * #,##0_-;_-[$€-2]\ * &quot;-&quot;??_-;_-@_-"/>
    </dxf>
    <dxf>
      <numFmt numFmtId="165" formatCode="_-[$€-2]\ * #,##0_-;\-[$€-2]\ * #,##0_-;_-[$€-2]\ * &quot;-&quot;??_-;_-@_-"/>
    </dxf>
    <dxf>
      <numFmt numFmtId="165" formatCode="_-[$€-2]\ * #,##0_-;\-[$€-2]\ * #,##0_-;_-[$€-2]\ * &quot;-&quot;??_-;_-@_-"/>
    </dxf>
    <dxf>
      <font>
        <b/>
      </font>
      <numFmt numFmtId="165" formatCode="_-[$€-2]\ * #,##0_-;\-[$€-2]\ * #,##0_-;_-[$€-2]\ * &quot;-&quot;??_-;_-@_-"/>
    </dxf>
    <dxf>
      <numFmt numFmtId="165" formatCode="_-[$€-2]\ * #,##0_-;\-[$€-2]\ * #,##0_-;_-[$€-2]\ * &quot;-&quot;??_-;_-@_-"/>
    </dxf>
    <dxf>
      <numFmt numFmtId="165" formatCode="_-[$€-2]\ * #,##0_-;\-[$€-2]\ * #,##0_-;_-[$€-2]\ * &quot;-&quot;??_-;_-@_-"/>
    </dxf>
    <dxf>
      <font>
        <b/>
        <i val="0"/>
        <strike val="0"/>
        <condense val="0"/>
        <extend val="0"/>
        <outline val="0"/>
        <shadow val="0"/>
        <u val="none"/>
        <vertAlign val="baseline"/>
        <sz val="11"/>
        <color theme="1"/>
        <name val="Aptos Narrow"/>
        <family val="2"/>
        <charset val="186"/>
        <scheme val="minor"/>
      </font>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style="thick">
          <color indexed="64"/>
        </left>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right style="thick">
          <color indexed="64"/>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style="thick">
          <color indexed="64"/>
        </left>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right style="thick">
          <color indexed="64"/>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style="thick">
          <color indexed="64"/>
        </left>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right style="thick">
          <color indexed="64"/>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style="thin">
          <color indexed="64"/>
        </left>
        <right style="thin">
          <color indexed="64"/>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dxf>
    <dxf>
      <numFmt numFmtId="164" formatCode="#,##0\ &quot;€&quot;"/>
      <fill>
        <patternFill patternType="solid">
          <fgColor indexed="64"/>
          <bgColor rgb="FF92D050"/>
        </patternFill>
      </fill>
      <alignment horizontal="general" vertical="top" textRotation="0" indent="0" justifyLastLine="0" shrinkToFit="0" readingOrder="0"/>
      <border diagonalUp="0" diagonalDown="0">
        <left style="thin">
          <color indexed="64"/>
        </left>
        <right style="thick">
          <color indexed="64"/>
        </right>
        <top/>
        <bottom/>
      </border>
    </dxf>
    <dxf>
      <numFmt numFmtId="164" formatCode="#,##0\ &quot;€&quot;"/>
      <fill>
        <patternFill patternType="solid">
          <fgColor indexed="64"/>
          <bgColor rgb="FF92D050"/>
        </patternFill>
      </fill>
      <alignment horizontal="general" vertical="top" textRotation="0" indent="0" justifyLastLine="0" shrinkToFit="0" readingOrder="0"/>
      <border diagonalUp="0" diagonalDown="0">
        <left/>
        <right style="thin">
          <color indexed="64"/>
        </right>
        <top/>
        <bottom/>
      </border>
    </dxf>
    <dxf>
      <numFmt numFmtId="164" formatCode="#,##0\ &quot;€&quot;"/>
      <fill>
        <patternFill patternType="solid">
          <fgColor indexed="64"/>
          <bgColor rgb="FF92D050"/>
        </patternFill>
      </fill>
      <alignment horizontal="general" vertical="top" textRotation="0" indent="0" justifyLastLine="0" shrinkToFit="0" readingOrder="0"/>
      <border diagonalUp="0" diagonalDown="0">
        <left/>
        <right style="thin">
          <color indexed="64"/>
        </right>
        <top/>
        <bottom/>
      </border>
    </dxf>
    <dxf>
      <numFmt numFmtId="164" formatCode="#,##0\ &quot;€&quot;"/>
      <fill>
        <patternFill patternType="solid">
          <fgColor indexed="64"/>
          <bgColor rgb="FF92D050"/>
        </patternFill>
      </fill>
      <alignment horizontal="general" vertical="top" textRotation="0" indent="0" justifyLastLine="0" shrinkToFit="0" readingOrder="0"/>
      <border diagonalUp="0" diagonalDown="0">
        <left/>
        <right style="thin">
          <color indexed="64"/>
        </right>
        <top/>
        <bottom/>
      </border>
    </dxf>
    <dxf>
      <font>
        <b/>
      </font>
      <numFmt numFmtId="164" formatCode="#,##0\ &quot;€&quot;"/>
      <fill>
        <patternFill patternType="solid">
          <fgColor indexed="64"/>
          <bgColor rgb="FF92D050"/>
        </patternFill>
      </fill>
      <alignment horizontal="general" vertical="top" textRotation="0" indent="0" justifyLastLine="0" shrinkToFit="0" readingOrder="0"/>
      <border diagonalUp="0" diagonalDown="0">
        <left/>
        <right style="thin">
          <color indexed="64"/>
        </right>
        <top/>
        <bottom/>
      </border>
    </dxf>
    <dxf>
      <alignment horizontal="general" vertical="top"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numFmt numFmtId="165" formatCode="_-[$€-2]\ * #,##0_-;\-[$€-2]\ * #,##0_-;_-[$€-2]\ * &quot;-&quot;??_-;_-@_-"/>
      <alignment horizontal="general" vertical="top" textRotation="0" wrapText="1" indent="0" justifyLastLine="0" shrinkToFit="0" readingOrder="0"/>
    </dxf>
    <dxf>
      <numFmt numFmtId="165" formatCode="_-[$€-2]\ * #,##0_-;\-[$€-2]\ * #,##0_-;_-[$€-2]\ * &quot;-&quot;??_-;_-@_-"/>
      <alignment horizontal="general" vertical="top" textRotation="0" indent="0" justifyLastLine="0" shrinkToFit="0" readingOrder="0"/>
    </dxf>
    <dxf>
      <numFmt numFmtId="165" formatCode="_-[$€-2]\ * #,##0_-;\-[$€-2]\ * #,##0_-;_-[$€-2]\ * &quot;-&quot;??_-;_-@_-"/>
      <alignment horizontal="general" vertical="top" textRotation="0" indent="0" justifyLastLine="0" shrinkToFit="0" readingOrder="0"/>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font>
        <b/>
        <i val="0"/>
        <strike val="0"/>
        <condense val="0"/>
        <extend val="0"/>
        <outline val="0"/>
        <shadow val="0"/>
        <u val="none"/>
        <vertAlign val="baseline"/>
        <sz val="11"/>
        <color theme="1"/>
        <name val="Aptos Narrow"/>
        <family val="2"/>
        <charset val="186"/>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ADD556-E187-4877-8C1A-F0E33393C43A}" name="Tabel134" displayName="Tabel134" ref="A3:U92" totalsRowShown="0" headerRowDxfId="32" dataDxfId="31" tableBorderDxfId="30">
  <tableColumns count="21">
    <tableColumn id="6" xr3:uid="{7A30B7D4-43BD-49EF-9BDE-77AC073BCD7B}" name="Nr" dataDxfId="29"/>
    <tableColumn id="7" xr3:uid="{4DEBD896-34DB-4843-987A-A40787282A40}" name="Asutus" dataDxfId="28"/>
    <tableColumn id="8" xr3:uid="{1115AF5C-CD15-40E1-A875-2BF8232CBA20}" name="Valdkond/osakond" dataDxfId="27"/>
    <tableColumn id="1" xr3:uid="{FEAE489E-452B-452E-9C27-71161720122D}" name="Tegevus" dataDxfId="26"/>
    <tableColumn id="30" xr3:uid="{1D39B757-2533-4B30-BB59-87ECFB41F8C8}" name="Summa kokku _x000a_2023-2024" dataDxfId="25">
      <calculatedColumnFormula>SUM(Tabel134[[#This Row],[2023]]+Tabel134[[#This Row],[2024 lisanduv]])</calculatedColumnFormula>
    </tableColumn>
    <tableColumn id="29" xr3:uid="{A02EAD68-30B0-426F-AD1C-539BB926C4B4}" name="2023" dataDxfId="24">
      <calculatedColumnFormula>SUM(Tabel134[[#This Row],[Inv.
(15)]:[Maj.kulu
(55) ]])</calculatedColumnFormula>
    </tableColumn>
    <tableColumn id="32" xr3:uid="{01DC7A67-D937-402B-872B-2D83AAABE222}" name="2024 _x000a_(2023 jätk)" dataDxfId="23">
      <calculatedColumnFormula>SUM(Tabel134[[#This Row],[Inv.
(15)2]:[Maj.kulu
(55) 2]])</calculatedColumnFormula>
    </tableColumn>
    <tableColumn id="31" xr3:uid="{D3AB6EB4-8570-45F6-8C0E-947AB69417BA}" name="2024 lisanduv" dataDxfId="22">
      <calculatedColumnFormula>SUM(Tabel134[[#This Row],[Inv.
(15)3]:[Maj.kulu
(55) 3]])</calculatedColumnFormula>
    </tableColumn>
    <tableColumn id="28" xr3:uid="{140016A7-75FC-4501-A133-5D2949B5ABD8}" name="2024" dataDxfId="21">
      <calculatedColumnFormula>SUM(Tabel134[[#This Row],[Inv.
(15)4]:[Maj.kulu
(55) 4]])</calculatedColumnFormula>
    </tableColumn>
    <tableColumn id="16" xr3:uid="{0B486281-CC16-4EC9-922B-87B8AD3789DA}" name="Inv._x000a_(15)" dataDxfId="20"/>
    <tableColumn id="15" xr3:uid="{A05AE263-E0AD-493A-9320-2E278003BED3}" name="Tööj.kulu_x000a_(50)" dataDxfId="19"/>
    <tableColumn id="14" xr3:uid="{B72ED58C-A8C5-496F-AE9E-B71B68C7C95E}" name="Maj.kulu_x000a_(55) " dataDxfId="18"/>
    <tableColumn id="19" xr3:uid="{7465882F-FD8F-4441-9487-F329FC860868}" name="Inv._x000a_(15)2" dataDxfId="17"/>
    <tableColumn id="18" xr3:uid="{32D37DF5-DF31-4D70-A2A5-0F1C2DB7344A}" name="Tööj.kulu_x000a_(50)2" dataDxfId="16"/>
    <tableColumn id="17" xr3:uid="{662B23CA-E29D-4F50-894C-B772BE01C814}" name="Maj.kulu_x000a_(55) 2" dataDxfId="15"/>
    <tableColumn id="22" xr3:uid="{1D4E1818-C350-4649-A568-787D1D3BE77B}" name="Inv._x000a_(15)3" dataDxfId="14"/>
    <tableColumn id="21" xr3:uid="{C5101B11-1D90-4D55-8A00-CF3CEE74BEA2}" name="Tööj.kulu_x000a_(50)3" dataDxfId="13"/>
    <tableColumn id="20" xr3:uid="{2C97E31F-381C-4167-8942-A89A26DF3C0E}" name="Maj.kulu_x000a_(55) 3" dataDxfId="12"/>
    <tableColumn id="25" xr3:uid="{F46CA8D3-29EB-47F1-878F-28AC7AC92A16}" name="Inv._x000a_(15)4" dataDxfId="11"/>
    <tableColumn id="24" xr3:uid="{4609E284-286C-4FB1-9E13-2E6519F9800E}" name="Tööj.kulu_x000a_(50)4" dataDxfId="10"/>
    <tableColumn id="23" xr3:uid="{11182973-0E06-48FC-BE13-06E1681D3CF8}" name="Maj.kulu_x000a_(55) 4"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846F58-3996-4299-BC55-39A79615AFD5}" name="Tabel1" displayName="Tabel1" ref="A1:I37" totalsRowShown="0" headerRowDxfId="8">
  <autoFilter ref="A1:I37" xr:uid="{05846F58-3996-4299-BC55-39A79615AFD5}"/>
  <tableColumns count="9">
    <tableColumn id="6" xr3:uid="{EE9EA14F-E707-4712-A0E4-7021FE6593C6}" name="Nr" dataDxfId="7"/>
    <tableColumn id="7" xr3:uid="{F2BF58B1-5584-4426-BD28-397116E44973}" name="Asutus" dataDxfId="6"/>
    <tableColumn id="1" xr3:uid="{1AB1A8C0-4026-4FF6-BA47-1F49E04ABB18}" name="Tegevus"/>
    <tableColumn id="2" xr3:uid="{0E34B5BC-9C93-47F5-8600-FF702A1E309D}" name="2023 Summa kokku" dataDxfId="5">
      <calculatedColumnFormula>SUM(E2+G2+I2)</calculatedColumnFormula>
    </tableColumn>
    <tableColumn id="4" xr3:uid="{D27FF10B-D238-472D-9A79-89CE5D4C9C1B}" name="Investeering (KM-ga)" dataDxfId="4"/>
    <tableColumn id="9" xr3:uid="{D298A478-84DF-4420-9E61-93EBF77FDE24}" name="Investeering (ilma KM)" dataDxfId="3">
      <calculatedColumnFormula>Tabel1[[#This Row],[Investeering (KM-ga)]]/1.2</calculatedColumnFormula>
    </tableColumn>
    <tableColumn id="5" xr3:uid="{EEA927F7-2E28-4B2B-937D-95AB900301F0}" name="Majandamiskulu (KM-ga)" dataDxfId="2"/>
    <tableColumn id="10" xr3:uid="{1B41AA86-2314-426E-9432-F8E17C30449C}" name="Majandamiskulu (ilma KM)" dataDxfId="1">
      <calculatedColumnFormula>Tabel1[[#This Row],[Majandamiskulu (KM-ga)]]/1.2</calculatedColumnFormula>
    </tableColumn>
    <tableColumn id="3" xr3:uid="{21FBEC1E-3FD2-451B-B742-4FF9F3C86AD7}" name="Tööjõukulu" dataDxfId="0"/>
  </tableColumns>
  <tableStyleInfo name="TableStyleLight9"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CCAF3-7C41-486A-A57A-298FA33B34C2}">
  <sheetPr>
    <tabColor rgb="FF92D050"/>
  </sheetPr>
  <dimension ref="A1:I61"/>
  <sheetViews>
    <sheetView workbookViewId="0">
      <selection activeCell="B9" sqref="B9"/>
    </sheetView>
  </sheetViews>
  <sheetFormatPr defaultRowHeight="14.5" x14ac:dyDescent="0.35"/>
  <cols>
    <col min="1" max="1" width="7" bestFit="1" customWidth="1"/>
    <col min="2" max="2" width="21.54296875" bestFit="1" customWidth="1"/>
    <col min="3" max="3" width="6.81640625" bestFit="1" customWidth="1"/>
    <col min="4" max="4" width="19.81640625" bestFit="1" customWidth="1"/>
    <col min="5" max="5" width="129.6328125" bestFit="1" customWidth="1"/>
    <col min="6" max="6" width="11.08984375" bestFit="1" customWidth="1"/>
    <col min="7" max="7" width="14.90625" bestFit="1" customWidth="1"/>
    <col min="8" max="8" width="10.08984375" bestFit="1" customWidth="1"/>
    <col min="9" max="9" width="10.90625" bestFit="1" customWidth="1"/>
  </cols>
  <sheetData>
    <row r="1" spans="1:9" x14ac:dyDescent="0.35">
      <c r="A1" s="118" t="s">
        <v>365</v>
      </c>
      <c r="B1" s="118"/>
      <c r="C1" s="118"/>
      <c r="D1" s="118"/>
      <c r="E1" s="118"/>
    </row>
    <row r="2" spans="1:9" x14ac:dyDescent="0.35">
      <c r="A2" s="118" t="s">
        <v>476</v>
      </c>
      <c r="B2" s="118"/>
      <c r="C2" s="118"/>
      <c r="D2" s="118"/>
      <c r="E2" s="118"/>
    </row>
    <row r="3" spans="1:9" x14ac:dyDescent="0.35">
      <c r="A3" s="44"/>
      <c r="F3" s="120" t="s">
        <v>475</v>
      </c>
      <c r="G3" s="121"/>
      <c r="H3" s="121"/>
      <c r="I3" s="122"/>
    </row>
    <row r="4" spans="1:9" ht="15" thickBot="1" x14ac:dyDescent="0.4">
      <c r="A4" s="113" t="s">
        <v>213</v>
      </c>
      <c r="B4" s="113" t="s">
        <v>411</v>
      </c>
      <c r="C4" s="113" t="s">
        <v>1</v>
      </c>
      <c r="D4" s="113" t="s">
        <v>196</v>
      </c>
      <c r="E4" s="113" t="s">
        <v>412</v>
      </c>
      <c r="F4" s="114" t="s">
        <v>409</v>
      </c>
      <c r="G4" s="115" t="s">
        <v>410</v>
      </c>
      <c r="H4" s="115" t="s">
        <v>278</v>
      </c>
      <c r="I4" s="116" t="s">
        <v>198</v>
      </c>
    </row>
    <row r="5" spans="1:9" ht="15" thickTop="1" x14ac:dyDescent="0.35">
      <c r="A5" s="44" t="s">
        <v>4</v>
      </c>
      <c r="B5" s="44" t="s">
        <v>5</v>
      </c>
      <c r="C5" s="44" t="s">
        <v>6</v>
      </c>
      <c r="D5" s="44" t="s">
        <v>7</v>
      </c>
      <c r="E5" s="77" t="s">
        <v>480</v>
      </c>
      <c r="F5" s="108"/>
      <c r="G5" s="108">
        <v>40850</v>
      </c>
      <c r="H5" s="108">
        <v>290926</v>
      </c>
      <c r="I5" s="109">
        <f>SUM(G5:H5)</f>
        <v>331776</v>
      </c>
    </row>
    <row r="6" spans="1:9" x14ac:dyDescent="0.35">
      <c r="A6" s="44" t="s">
        <v>4</v>
      </c>
      <c r="B6" s="44" t="s">
        <v>5</v>
      </c>
      <c r="C6" s="44" t="s">
        <v>11</v>
      </c>
      <c r="D6" s="44" t="s">
        <v>12</v>
      </c>
      <c r="E6" s="77" t="s">
        <v>13</v>
      </c>
      <c r="F6" s="108">
        <v>37230</v>
      </c>
      <c r="G6" s="108"/>
      <c r="H6" s="108"/>
      <c r="I6" s="109">
        <v>37230</v>
      </c>
    </row>
    <row r="7" spans="1:9" x14ac:dyDescent="0.35">
      <c r="A7" s="44" t="s">
        <v>4</v>
      </c>
      <c r="B7" s="44" t="s">
        <v>5</v>
      </c>
      <c r="C7" s="44" t="s">
        <v>11</v>
      </c>
      <c r="D7" s="44" t="s">
        <v>14</v>
      </c>
      <c r="E7" s="77" t="s">
        <v>15</v>
      </c>
      <c r="F7" s="108">
        <v>200000</v>
      </c>
      <c r="G7" s="108"/>
      <c r="H7" s="108">
        <v>108000</v>
      </c>
      <c r="I7" s="109">
        <v>308000</v>
      </c>
    </row>
    <row r="8" spans="1:9" x14ac:dyDescent="0.35">
      <c r="A8" s="44" t="s">
        <v>4</v>
      </c>
      <c r="B8" s="44" t="s">
        <v>5</v>
      </c>
      <c r="C8" s="44" t="s">
        <v>11</v>
      </c>
      <c r="D8" s="44" t="s">
        <v>16</v>
      </c>
      <c r="E8" s="77" t="s">
        <v>17</v>
      </c>
      <c r="F8" s="108"/>
      <c r="G8" s="108"/>
      <c r="H8" s="108">
        <v>161000</v>
      </c>
      <c r="I8" s="109">
        <v>161000</v>
      </c>
    </row>
    <row r="9" spans="1:9" x14ac:dyDescent="0.35">
      <c r="A9" s="44" t="s">
        <v>4</v>
      </c>
      <c r="B9" s="44" t="s">
        <v>5</v>
      </c>
      <c r="C9" s="44"/>
      <c r="D9" s="44" t="s">
        <v>20</v>
      </c>
      <c r="E9" s="77" t="s">
        <v>205</v>
      </c>
      <c r="F9" s="108"/>
      <c r="G9" s="108">
        <v>65000</v>
      </c>
      <c r="H9" s="108">
        <v>80280</v>
      </c>
      <c r="I9" s="109">
        <v>145280</v>
      </c>
    </row>
    <row r="10" spans="1:9" x14ac:dyDescent="0.35">
      <c r="A10" s="44" t="s">
        <v>4</v>
      </c>
      <c r="B10" s="44" t="s">
        <v>5</v>
      </c>
      <c r="C10" s="44"/>
      <c r="D10" s="44" t="s">
        <v>25</v>
      </c>
      <c r="E10" s="77" t="s">
        <v>10</v>
      </c>
      <c r="F10" s="108"/>
      <c r="G10" s="108">
        <v>35000</v>
      </c>
      <c r="H10" s="108">
        <v>146422</v>
      </c>
      <c r="I10" s="109">
        <v>181422</v>
      </c>
    </row>
    <row r="11" spans="1:9" x14ac:dyDescent="0.35">
      <c r="A11" s="44" t="s">
        <v>4</v>
      </c>
      <c r="B11" s="44" t="s">
        <v>5</v>
      </c>
      <c r="C11" s="44" t="s">
        <v>18</v>
      </c>
      <c r="D11" s="44" t="s">
        <v>19</v>
      </c>
      <c r="E11" s="77" t="s">
        <v>10</v>
      </c>
      <c r="F11" s="108"/>
      <c r="G11" s="108">
        <v>42986.67</v>
      </c>
      <c r="H11" s="108">
        <v>200000</v>
      </c>
      <c r="I11" s="109">
        <v>242986.66999999998</v>
      </c>
    </row>
    <row r="12" spans="1:9" x14ac:dyDescent="0.35">
      <c r="A12" s="44" t="s">
        <v>4</v>
      </c>
      <c r="B12" s="44" t="s">
        <v>413</v>
      </c>
      <c r="C12" s="44" t="s">
        <v>18</v>
      </c>
      <c r="D12" s="44" t="s">
        <v>414</v>
      </c>
      <c r="E12" s="77" t="s">
        <v>415</v>
      </c>
      <c r="F12" s="108"/>
      <c r="G12" s="108">
        <v>10000</v>
      </c>
      <c r="H12" s="108">
        <v>100000</v>
      </c>
      <c r="I12" s="109">
        <v>110000</v>
      </c>
    </row>
    <row r="13" spans="1:9" x14ac:dyDescent="0.35">
      <c r="A13" s="44" t="s">
        <v>4</v>
      </c>
      <c r="B13" s="44" t="s">
        <v>416</v>
      </c>
      <c r="C13" s="44"/>
      <c r="D13" s="44" t="s">
        <v>30</v>
      </c>
      <c r="E13" s="77" t="s">
        <v>31</v>
      </c>
      <c r="F13" s="108"/>
      <c r="G13" s="108">
        <v>49600</v>
      </c>
      <c r="H13" s="108"/>
      <c r="I13" s="109">
        <v>49600</v>
      </c>
    </row>
    <row r="14" spans="1:9" x14ac:dyDescent="0.35">
      <c r="A14" s="44" t="s">
        <v>4</v>
      </c>
      <c r="B14" s="44" t="s">
        <v>416</v>
      </c>
      <c r="C14" s="44"/>
      <c r="D14" s="44" t="s">
        <v>36</v>
      </c>
      <c r="E14" s="77" t="s">
        <v>37</v>
      </c>
      <c r="F14" s="108"/>
      <c r="G14" s="108">
        <v>18600</v>
      </c>
      <c r="H14" s="108"/>
      <c r="I14" s="109">
        <v>18600</v>
      </c>
    </row>
    <row r="15" spans="1:9" x14ac:dyDescent="0.35">
      <c r="A15" s="44" t="s">
        <v>4</v>
      </c>
      <c r="B15" s="44" t="s">
        <v>416</v>
      </c>
      <c r="C15" s="44"/>
      <c r="D15" s="44" t="s">
        <v>38</v>
      </c>
      <c r="E15" s="77" t="s">
        <v>417</v>
      </c>
      <c r="F15" s="108"/>
      <c r="G15" s="108">
        <v>37200</v>
      </c>
      <c r="H15" s="108"/>
      <c r="I15" s="109">
        <v>37200</v>
      </c>
    </row>
    <row r="16" spans="1:9" x14ac:dyDescent="0.35">
      <c r="A16" s="44" t="s">
        <v>4</v>
      </c>
      <c r="B16" s="44" t="s">
        <v>416</v>
      </c>
      <c r="C16" s="44"/>
      <c r="D16" s="44" t="s">
        <v>418</v>
      </c>
      <c r="E16" s="77" t="s">
        <v>419</v>
      </c>
      <c r="F16" s="108"/>
      <c r="G16" s="108">
        <v>66000</v>
      </c>
      <c r="H16" s="108"/>
      <c r="I16" s="109">
        <v>66000</v>
      </c>
    </row>
    <row r="17" spans="1:9" x14ac:dyDescent="0.35">
      <c r="A17" s="44" t="s">
        <v>4</v>
      </c>
      <c r="B17" s="44" t="s">
        <v>416</v>
      </c>
      <c r="C17" s="44"/>
      <c r="D17" s="44" t="s">
        <v>420</v>
      </c>
      <c r="E17" s="77" t="s">
        <v>421</v>
      </c>
      <c r="F17" s="108"/>
      <c r="G17" s="108">
        <v>88000</v>
      </c>
      <c r="H17" s="108"/>
      <c r="I17" s="109">
        <v>88000</v>
      </c>
    </row>
    <row r="18" spans="1:9" x14ac:dyDescent="0.35">
      <c r="A18" s="44" t="s">
        <v>4</v>
      </c>
      <c r="B18" s="44" t="s">
        <v>40</v>
      </c>
      <c r="C18" s="44"/>
      <c r="D18" s="44" t="s">
        <v>42</v>
      </c>
      <c r="E18" s="77" t="s">
        <v>43</v>
      </c>
      <c r="F18" s="108"/>
      <c r="G18" s="108">
        <v>45928</v>
      </c>
      <c r="H18" s="108"/>
      <c r="I18" s="109">
        <v>45928</v>
      </c>
    </row>
    <row r="19" spans="1:9" x14ac:dyDescent="0.35">
      <c r="A19" s="44" t="s">
        <v>4</v>
      </c>
      <c r="B19" s="44" t="s">
        <v>40</v>
      </c>
      <c r="C19" s="44"/>
      <c r="D19" s="44" t="s">
        <v>50</v>
      </c>
      <c r="E19" s="77" t="s">
        <v>422</v>
      </c>
      <c r="F19" s="108"/>
      <c r="G19" s="108"/>
      <c r="H19" s="108">
        <v>52000</v>
      </c>
      <c r="I19" s="109">
        <v>52000</v>
      </c>
    </row>
    <row r="20" spans="1:9" x14ac:dyDescent="0.35">
      <c r="A20" s="44" t="s">
        <v>4</v>
      </c>
      <c r="B20" s="44" t="s">
        <v>40</v>
      </c>
      <c r="C20" s="44"/>
      <c r="D20" s="44" t="s">
        <v>56</v>
      </c>
      <c r="E20" s="77" t="s">
        <v>423</v>
      </c>
      <c r="F20" s="108"/>
      <c r="G20" s="108"/>
      <c r="H20" s="108">
        <v>52000</v>
      </c>
      <c r="I20" s="109">
        <v>52000</v>
      </c>
    </row>
    <row r="21" spans="1:9" x14ac:dyDescent="0.35">
      <c r="A21" s="44" t="s">
        <v>4</v>
      </c>
      <c r="B21" s="44" t="s">
        <v>40</v>
      </c>
      <c r="C21" s="44"/>
      <c r="D21" s="44" t="s">
        <v>424</v>
      </c>
      <c r="E21" s="77" t="s">
        <v>425</v>
      </c>
      <c r="F21" s="108"/>
      <c r="G21" s="108"/>
      <c r="H21" s="108">
        <v>52000</v>
      </c>
      <c r="I21" s="109">
        <v>52000</v>
      </c>
    </row>
    <row r="22" spans="1:9" x14ac:dyDescent="0.35">
      <c r="A22" s="44" t="s">
        <v>4</v>
      </c>
      <c r="B22" s="44" t="s">
        <v>62</v>
      </c>
      <c r="C22" s="44"/>
      <c r="D22" s="44" t="s">
        <v>65</v>
      </c>
      <c r="E22" s="77" t="s">
        <v>426</v>
      </c>
      <c r="F22" s="108"/>
      <c r="G22" s="108"/>
      <c r="H22" s="108">
        <v>106000</v>
      </c>
      <c r="I22" s="109">
        <v>106000</v>
      </c>
    </row>
    <row r="23" spans="1:9" x14ac:dyDescent="0.35">
      <c r="A23" s="44" t="s">
        <v>4</v>
      </c>
      <c r="B23" s="44" t="s">
        <v>76</v>
      </c>
      <c r="C23" s="44"/>
      <c r="D23" s="44" t="s">
        <v>77</v>
      </c>
      <c r="E23" s="77" t="s">
        <v>78</v>
      </c>
      <c r="F23" s="108"/>
      <c r="G23" s="108">
        <v>44032</v>
      </c>
      <c r="H23" s="108">
        <v>59400</v>
      </c>
      <c r="I23" s="109">
        <v>103432</v>
      </c>
    </row>
    <row r="24" spans="1:9" x14ac:dyDescent="0.35">
      <c r="A24" s="44" t="s">
        <v>4</v>
      </c>
      <c r="B24" s="44" t="s">
        <v>79</v>
      </c>
      <c r="C24" s="44"/>
      <c r="D24" s="44" t="s">
        <v>80</v>
      </c>
      <c r="E24" s="77" t="s">
        <v>427</v>
      </c>
      <c r="F24" s="108"/>
      <c r="G24" s="108"/>
      <c r="H24" s="108">
        <v>60000</v>
      </c>
      <c r="I24" s="109">
        <v>60000</v>
      </c>
    </row>
    <row r="25" spans="1:9" x14ac:dyDescent="0.35">
      <c r="A25" s="44" t="s">
        <v>4</v>
      </c>
      <c r="B25" s="44" t="s">
        <v>82</v>
      </c>
      <c r="C25" s="44"/>
      <c r="D25" s="44" t="s">
        <v>428</v>
      </c>
      <c r="E25" s="77" t="s">
        <v>429</v>
      </c>
      <c r="F25" s="108"/>
      <c r="G25" s="108">
        <v>73000</v>
      </c>
      <c r="H25" s="108"/>
      <c r="I25" s="109">
        <v>73000</v>
      </c>
    </row>
    <row r="26" spans="1:9" x14ac:dyDescent="0.35">
      <c r="A26" s="44" t="s">
        <v>4</v>
      </c>
      <c r="B26" s="44" t="s">
        <v>82</v>
      </c>
      <c r="C26" s="44"/>
      <c r="D26" s="44" t="s">
        <v>430</v>
      </c>
      <c r="E26" s="77" t="s">
        <v>431</v>
      </c>
      <c r="F26" s="108"/>
      <c r="G26" s="108">
        <v>300000</v>
      </c>
      <c r="H26" s="108"/>
      <c r="I26" s="109">
        <v>300000</v>
      </c>
    </row>
    <row r="27" spans="1:9" x14ac:dyDescent="0.35">
      <c r="A27" s="44" t="s">
        <v>4</v>
      </c>
      <c r="B27" s="44" t="s">
        <v>82</v>
      </c>
      <c r="C27" s="44" t="s">
        <v>250</v>
      </c>
      <c r="D27" s="44" t="s">
        <v>385</v>
      </c>
      <c r="E27" s="77" t="s">
        <v>386</v>
      </c>
      <c r="F27" s="108">
        <v>625681</v>
      </c>
      <c r="G27" s="108">
        <v>15784</v>
      </c>
      <c r="H27" s="108">
        <v>140000</v>
      </c>
      <c r="I27" s="109">
        <f>SUM(F27:H27)</f>
        <v>781465</v>
      </c>
    </row>
    <row r="28" spans="1:9" x14ac:dyDescent="0.35">
      <c r="A28" s="44" t="s">
        <v>4</v>
      </c>
      <c r="B28" s="44" t="s">
        <v>89</v>
      </c>
      <c r="C28" s="44"/>
      <c r="D28" s="44" t="s">
        <v>98</v>
      </c>
      <c r="E28" s="77" t="s">
        <v>99</v>
      </c>
      <c r="F28" s="108"/>
      <c r="G28" s="108">
        <v>120000</v>
      </c>
      <c r="H28" s="108"/>
      <c r="I28" s="109">
        <v>120000</v>
      </c>
    </row>
    <row r="29" spans="1:9" x14ac:dyDescent="0.35">
      <c r="A29" s="44" t="s">
        <v>27</v>
      </c>
      <c r="B29" s="44" t="s">
        <v>112</v>
      </c>
      <c r="C29" s="44"/>
      <c r="D29" s="44" t="s">
        <v>432</v>
      </c>
      <c r="E29" s="77" t="s">
        <v>433</v>
      </c>
      <c r="F29" s="108">
        <v>124000</v>
      </c>
      <c r="G29" s="108">
        <v>62000</v>
      </c>
      <c r="H29" s="108"/>
      <c r="I29" s="109">
        <v>186000</v>
      </c>
    </row>
    <row r="30" spans="1:9" x14ac:dyDescent="0.35">
      <c r="A30" s="44" t="s">
        <v>27</v>
      </c>
      <c r="B30" s="44" t="s">
        <v>112</v>
      </c>
      <c r="C30" s="44"/>
      <c r="D30" s="44" t="s">
        <v>434</v>
      </c>
      <c r="E30" s="77" t="s">
        <v>435</v>
      </c>
      <c r="F30" s="108"/>
      <c r="G30" s="108"/>
      <c r="H30" s="108">
        <v>67556</v>
      </c>
      <c r="I30" s="109">
        <v>67556</v>
      </c>
    </row>
    <row r="31" spans="1:9" x14ac:dyDescent="0.35">
      <c r="A31" s="44" t="s">
        <v>27</v>
      </c>
      <c r="B31" s="44" t="s">
        <v>112</v>
      </c>
      <c r="C31" s="44"/>
      <c r="D31" s="44" t="s">
        <v>436</v>
      </c>
      <c r="E31" s="77" t="s">
        <v>119</v>
      </c>
      <c r="F31" s="108"/>
      <c r="G31" s="108"/>
      <c r="H31" s="108">
        <v>59608</v>
      </c>
      <c r="I31" s="109">
        <v>59608</v>
      </c>
    </row>
    <row r="32" spans="1:9" x14ac:dyDescent="0.35">
      <c r="A32" s="44" t="s">
        <v>27</v>
      </c>
      <c r="B32" s="44" t="s">
        <v>112</v>
      </c>
      <c r="C32" s="44"/>
      <c r="D32" s="44" t="s">
        <v>437</v>
      </c>
      <c r="E32" s="77" t="s">
        <v>438</v>
      </c>
      <c r="F32" s="108"/>
      <c r="G32" s="108"/>
      <c r="H32" s="108">
        <v>39739</v>
      </c>
      <c r="I32" s="109">
        <v>39739</v>
      </c>
    </row>
    <row r="33" spans="1:9" x14ac:dyDescent="0.35">
      <c r="A33" s="44" t="s">
        <v>27</v>
      </c>
      <c r="B33" s="44" t="s">
        <v>112</v>
      </c>
      <c r="C33" s="44"/>
      <c r="D33" s="44" t="s">
        <v>439</v>
      </c>
      <c r="E33" s="77" t="s">
        <v>440</v>
      </c>
      <c r="F33" s="108"/>
      <c r="G33" s="108"/>
      <c r="H33" s="108">
        <v>26824</v>
      </c>
      <c r="I33" s="109">
        <v>26824</v>
      </c>
    </row>
    <row r="34" spans="1:9" x14ac:dyDescent="0.35">
      <c r="A34" s="44" t="s">
        <v>27</v>
      </c>
      <c r="B34" s="44" t="s">
        <v>112</v>
      </c>
      <c r="C34" s="44"/>
      <c r="D34" s="44" t="s">
        <v>441</v>
      </c>
      <c r="E34" s="77" t="s">
        <v>442</v>
      </c>
      <c r="F34" s="108">
        <v>595200</v>
      </c>
      <c r="G34" s="108"/>
      <c r="H34" s="108"/>
      <c r="I34" s="109">
        <v>595200</v>
      </c>
    </row>
    <row r="35" spans="1:9" x14ac:dyDescent="0.35">
      <c r="A35" s="44" t="s">
        <v>27</v>
      </c>
      <c r="B35" s="44" t="s">
        <v>112</v>
      </c>
      <c r="C35" s="44"/>
      <c r="D35" s="44" t="s">
        <v>443</v>
      </c>
      <c r="E35" s="77" t="s">
        <v>444</v>
      </c>
      <c r="F35" s="108">
        <v>421600</v>
      </c>
      <c r="G35" s="108"/>
      <c r="H35" s="108"/>
      <c r="I35" s="109">
        <v>421600</v>
      </c>
    </row>
    <row r="36" spans="1:9" x14ac:dyDescent="0.35">
      <c r="A36" s="44" t="s">
        <v>27</v>
      </c>
      <c r="B36" s="44" t="s">
        <v>112</v>
      </c>
      <c r="C36" s="44"/>
      <c r="D36" s="44" t="s">
        <v>445</v>
      </c>
      <c r="E36" s="77" t="s">
        <v>446</v>
      </c>
      <c r="F36" s="108">
        <v>66895.520000000004</v>
      </c>
      <c r="G36" s="108">
        <v>12400</v>
      </c>
      <c r="H36" s="108"/>
      <c r="I36" s="109">
        <v>79295.520000000004</v>
      </c>
    </row>
    <row r="37" spans="1:9" x14ac:dyDescent="0.35">
      <c r="A37" s="44" t="s">
        <v>27</v>
      </c>
      <c r="B37" s="44" t="s">
        <v>122</v>
      </c>
      <c r="C37" s="44"/>
      <c r="D37" s="44" t="s">
        <v>447</v>
      </c>
      <c r="E37" s="77" t="s">
        <v>448</v>
      </c>
      <c r="F37" s="108">
        <v>27735.079999999998</v>
      </c>
      <c r="G37" s="108"/>
      <c r="H37" s="108"/>
      <c r="I37" s="109">
        <v>27735.079999999998</v>
      </c>
    </row>
    <row r="38" spans="1:9" x14ac:dyDescent="0.35">
      <c r="A38" s="44" t="s">
        <v>27</v>
      </c>
      <c r="B38" s="44" t="s">
        <v>122</v>
      </c>
      <c r="C38" s="44"/>
      <c r="D38" s="44" t="s">
        <v>449</v>
      </c>
      <c r="E38" s="77" t="s">
        <v>450</v>
      </c>
      <c r="F38" s="108">
        <v>248000</v>
      </c>
      <c r="G38" s="108"/>
      <c r="H38" s="108"/>
      <c r="I38" s="109">
        <v>248000</v>
      </c>
    </row>
    <row r="39" spans="1:9" x14ac:dyDescent="0.35">
      <c r="A39" s="44" t="s">
        <v>27</v>
      </c>
      <c r="B39" s="44" t="s">
        <v>122</v>
      </c>
      <c r="C39" s="44"/>
      <c r="D39" s="44" t="s">
        <v>451</v>
      </c>
      <c r="E39" s="77" t="s">
        <v>132</v>
      </c>
      <c r="F39" s="108">
        <v>99200</v>
      </c>
      <c r="G39" s="108"/>
      <c r="H39" s="108"/>
      <c r="I39" s="109">
        <v>99200</v>
      </c>
    </row>
    <row r="40" spans="1:9" x14ac:dyDescent="0.35">
      <c r="A40" s="44" t="s">
        <v>27</v>
      </c>
      <c r="B40" s="44" t="s">
        <v>122</v>
      </c>
      <c r="C40" s="44"/>
      <c r="D40" s="44" t="s">
        <v>452</v>
      </c>
      <c r="E40" s="77" t="s">
        <v>453</v>
      </c>
      <c r="F40" s="108"/>
      <c r="G40" s="108"/>
      <c r="H40" s="108">
        <v>410000</v>
      </c>
      <c r="I40" s="109">
        <v>410000</v>
      </c>
    </row>
    <row r="41" spans="1:9" x14ac:dyDescent="0.35">
      <c r="A41" s="44" t="s">
        <v>27</v>
      </c>
      <c r="B41" s="44" t="s">
        <v>122</v>
      </c>
      <c r="C41" s="44"/>
      <c r="D41" s="44" t="s">
        <v>144</v>
      </c>
      <c r="E41" s="77" t="s">
        <v>145</v>
      </c>
      <c r="F41" s="108"/>
      <c r="G41" s="108">
        <v>38072.959999999999</v>
      </c>
      <c r="H41" s="108"/>
      <c r="I41" s="109">
        <v>38072.959999999999</v>
      </c>
    </row>
    <row r="42" spans="1:9" x14ac:dyDescent="0.35">
      <c r="A42" s="44" t="s">
        <v>27</v>
      </c>
      <c r="B42" s="44" t="s">
        <v>454</v>
      </c>
      <c r="C42" s="44"/>
      <c r="D42" s="44" t="s">
        <v>455</v>
      </c>
      <c r="E42" s="77" t="s">
        <v>456</v>
      </c>
      <c r="F42" s="108"/>
      <c r="G42" s="108"/>
      <c r="H42" s="108">
        <v>142300</v>
      </c>
      <c r="I42" s="109">
        <v>142300</v>
      </c>
    </row>
    <row r="43" spans="1:9" x14ac:dyDescent="0.35">
      <c r="A43" s="44" t="s">
        <v>27</v>
      </c>
      <c r="B43" s="44" t="s">
        <v>372</v>
      </c>
      <c r="C43" s="44"/>
      <c r="D43" s="44" t="s">
        <v>457</v>
      </c>
      <c r="E43" s="77" t="s">
        <v>458</v>
      </c>
      <c r="F43" s="108">
        <v>434000</v>
      </c>
      <c r="G43" s="108">
        <v>186000</v>
      </c>
      <c r="H43" s="108">
        <v>188000</v>
      </c>
      <c r="I43" s="109">
        <v>808000</v>
      </c>
    </row>
    <row r="44" spans="1:9" x14ac:dyDescent="0.35">
      <c r="A44" s="44" t="s">
        <v>27</v>
      </c>
      <c r="B44" s="44" t="s">
        <v>372</v>
      </c>
      <c r="C44" s="44"/>
      <c r="D44" s="44" t="s">
        <v>459</v>
      </c>
      <c r="E44" s="77" t="s">
        <v>460</v>
      </c>
      <c r="F44" s="108">
        <v>434000</v>
      </c>
      <c r="G44" s="108">
        <v>186000</v>
      </c>
      <c r="H44" s="108">
        <v>217000</v>
      </c>
      <c r="I44" s="109">
        <v>837000</v>
      </c>
    </row>
    <row r="45" spans="1:9" x14ac:dyDescent="0.35">
      <c r="A45" s="44" t="s">
        <v>27</v>
      </c>
      <c r="B45" s="44" t="s">
        <v>372</v>
      </c>
      <c r="C45" s="44"/>
      <c r="D45" s="44" t="s">
        <v>461</v>
      </c>
      <c r="E45" s="77" t="s">
        <v>462</v>
      </c>
      <c r="F45" s="108">
        <v>1860000</v>
      </c>
      <c r="G45" s="108">
        <v>620000</v>
      </c>
      <c r="H45" s="108">
        <v>220000</v>
      </c>
      <c r="I45" s="109">
        <v>2700000</v>
      </c>
    </row>
    <row r="46" spans="1:9" x14ac:dyDescent="0.35">
      <c r="A46" s="44" t="s">
        <v>27</v>
      </c>
      <c r="B46" s="44" t="s">
        <v>372</v>
      </c>
      <c r="C46" s="44"/>
      <c r="D46" s="44" t="s">
        <v>463</v>
      </c>
      <c r="E46" s="77" t="s">
        <v>464</v>
      </c>
      <c r="F46" s="108">
        <v>682000</v>
      </c>
      <c r="G46" s="108">
        <v>266600</v>
      </c>
      <c r="H46" s="108">
        <v>471330</v>
      </c>
      <c r="I46" s="109">
        <v>1419930</v>
      </c>
    </row>
    <row r="47" spans="1:9" x14ac:dyDescent="0.35">
      <c r="A47" s="44" t="s">
        <v>171</v>
      </c>
      <c r="B47" s="44" t="s">
        <v>172</v>
      </c>
      <c r="C47" s="44"/>
      <c r="D47" s="44" t="s">
        <v>173</v>
      </c>
      <c r="E47" s="77" t="s">
        <v>465</v>
      </c>
      <c r="F47" s="108"/>
      <c r="G47" s="108">
        <v>210000</v>
      </c>
      <c r="H47" s="108">
        <v>439912</v>
      </c>
      <c r="I47" s="109">
        <v>649912</v>
      </c>
    </row>
    <row r="48" spans="1:9" x14ac:dyDescent="0.35">
      <c r="A48" s="44" t="s">
        <v>171</v>
      </c>
      <c r="B48" s="44" t="s">
        <v>172</v>
      </c>
      <c r="C48" s="44"/>
      <c r="D48" s="44" t="s">
        <v>175</v>
      </c>
      <c r="E48" s="77" t="s">
        <v>176</v>
      </c>
      <c r="F48" s="108">
        <v>62000</v>
      </c>
      <c r="G48" s="108">
        <v>40350</v>
      </c>
      <c r="H48" s="108">
        <v>269859</v>
      </c>
      <c r="I48" s="109">
        <v>372209</v>
      </c>
    </row>
    <row r="49" spans="1:9" x14ac:dyDescent="0.35">
      <c r="A49" s="44" t="s">
        <v>171</v>
      </c>
      <c r="B49" s="44" t="s">
        <v>172</v>
      </c>
      <c r="C49" s="44"/>
      <c r="D49" s="44" t="s">
        <v>177</v>
      </c>
      <c r="E49" s="77" t="s">
        <v>466</v>
      </c>
      <c r="F49" s="108"/>
      <c r="G49" s="108">
        <v>47000</v>
      </c>
      <c r="H49" s="108">
        <v>184864</v>
      </c>
      <c r="I49" s="109">
        <v>231864</v>
      </c>
    </row>
    <row r="50" spans="1:9" x14ac:dyDescent="0.35">
      <c r="A50" s="44" t="s">
        <v>171</v>
      </c>
      <c r="B50" s="44" t="s">
        <v>172</v>
      </c>
      <c r="C50" s="44"/>
      <c r="D50" s="44" t="s">
        <v>179</v>
      </c>
      <c r="E50" s="77" t="s">
        <v>467</v>
      </c>
      <c r="F50" s="108"/>
      <c r="G50" s="108">
        <v>62000</v>
      </c>
      <c r="H50" s="108">
        <v>299904</v>
      </c>
      <c r="I50" s="109">
        <v>361904</v>
      </c>
    </row>
    <row r="51" spans="1:9" x14ac:dyDescent="0.35">
      <c r="A51" s="44" t="s">
        <v>171</v>
      </c>
      <c r="B51" s="44" t="s">
        <v>172</v>
      </c>
      <c r="C51" s="44"/>
      <c r="D51" s="44" t="s">
        <v>181</v>
      </c>
      <c r="E51" s="77" t="s">
        <v>182</v>
      </c>
      <c r="F51" s="108"/>
      <c r="G51" s="108">
        <v>22362.16</v>
      </c>
      <c r="H51" s="108">
        <v>149599</v>
      </c>
      <c r="I51" s="109">
        <v>171961.16</v>
      </c>
    </row>
    <row r="52" spans="1:9" x14ac:dyDescent="0.35">
      <c r="A52" s="44" t="s">
        <v>171</v>
      </c>
      <c r="B52" s="44" t="s">
        <v>172</v>
      </c>
      <c r="C52" s="44"/>
      <c r="D52" s="44" t="s">
        <v>468</v>
      </c>
      <c r="E52" s="77" t="s">
        <v>469</v>
      </c>
      <c r="F52" s="108"/>
      <c r="G52" s="108">
        <v>22692</v>
      </c>
      <c r="H52" s="108">
        <v>84695</v>
      </c>
      <c r="I52" s="109">
        <v>107387</v>
      </c>
    </row>
    <row r="53" spans="1:9" ht="29" x14ac:dyDescent="0.35">
      <c r="A53" s="44" t="s">
        <v>171</v>
      </c>
      <c r="B53" s="119" t="s">
        <v>481</v>
      </c>
      <c r="C53" s="44"/>
      <c r="D53" s="44" t="s">
        <v>470</v>
      </c>
      <c r="E53" s="77" t="s">
        <v>474</v>
      </c>
      <c r="F53" s="108">
        <v>414040.96</v>
      </c>
      <c r="G53" s="108">
        <v>141811</v>
      </c>
      <c r="H53" s="108">
        <v>299973</v>
      </c>
      <c r="I53" s="109">
        <v>855824.96</v>
      </c>
    </row>
    <row r="54" spans="1:9" x14ac:dyDescent="0.35">
      <c r="A54" s="44" t="s">
        <v>171</v>
      </c>
      <c r="B54" s="44" t="s">
        <v>187</v>
      </c>
      <c r="C54" s="44"/>
      <c r="D54" s="44" t="s">
        <v>188</v>
      </c>
      <c r="E54" s="77" t="s">
        <v>471</v>
      </c>
      <c r="F54" s="108"/>
      <c r="G54" s="108">
        <v>134030</v>
      </c>
      <c r="H54" s="108">
        <v>249934</v>
      </c>
      <c r="I54" s="109">
        <v>383964</v>
      </c>
    </row>
    <row r="55" spans="1:9" x14ac:dyDescent="0.35">
      <c r="A55" s="44" t="s">
        <v>171</v>
      </c>
      <c r="B55" s="44" t="s">
        <v>187</v>
      </c>
      <c r="C55" s="44"/>
      <c r="D55" s="44" t="s">
        <v>190</v>
      </c>
      <c r="E55" s="77" t="s">
        <v>472</v>
      </c>
      <c r="F55" s="108"/>
      <c r="G55" s="108">
        <v>95625.08</v>
      </c>
      <c r="H55" s="108">
        <v>124740</v>
      </c>
      <c r="I55" s="109">
        <v>220365.08000000002</v>
      </c>
    </row>
    <row r="56" spans="1:9" x14ac:dyDescent="0.35">
      <c r="A56" s="44" t="s">
        <v>171</v>
      </c>
      <c r="B56" s="44" t="s">
        <v>187</v>
      </c>
      <c r="C56" s="44"/>
      <c r="D56" s="44" t="s">
        <v>183</v>
      </c>
      <c r="E56" s="77" t="s">
        <v>184</v>
      </c>
      <c r="F56" s="108"/>
      <c r="G56" s="108">
        <v>26350</v>
      </c>
      <c r="H56" s="108">
        <v>229863</v>
      </c>
      <c r="I56" s="109">
        <v>256213</v>
      </c>
    </row>
    <row r="57" spans="1:9" ht="15" thickBot="1" x14ac:dyDescent="0.4">
      <c r="A57" s="110"/>
      <c r="B57" s="110"/>
      <c r="C57" s="110"/>
      <c r="D57" s="110"/>
      <c r="E57" s="112" t="s">
        <v>473</v>
      </c>
      <c r="F57" s="111">
        <f>SUM(F5:F56)</f>
        <v>6331582.5599999996</v>
      </c>
      <c r="G57" s="111">
        <f t="shared" ref="G57:H57" si="0">SUM(G5:G56)</f>
        <v>3225273.87</v>
      </c>
      <c r="H57" s="111">
        <f t="shared" si="0"/>
        <v>5783728</v>
      </c>
      <c r="I57" s="111">
        <f>SUM(I5:I56)</f>
        <v>15340584.430000002</v>
      </c>
    </row>
    <row r="58" spans="1:9" ht="15" thickTop="1" x14ac:dyDescent="0.35"/>
    <row r="59" spans="1:9" x14ac:dyDescent="0.35">
      <c r="I59" s="117"/>
    </row>
    <row r="61" spans="1:9" x14ac:dyDescent="0.35">
      <c r="I61" s="108"/>
    </row>
  </sheetData>
  <mergeCells count="1">
    <mergeCell ref="F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71548-B95C-432D-88BD-B3E98B79F907}">
  <sheetPr>
    <tabColor rgb="FF92D050"/>
  </sheetPr>
  <dimension ref="A1:AG107"/>
  <sheetViews>
    <sheetView tabSelected="1" workbookViewId="0">
      <pane ySplit="3" topLeftCell="A76" activePane="bottomLeft" state="frozen"/>
      <selection pane="bottomLeft" activeCell="D82" sqref="D82"/>
    </sheetView>
  </sheetViews>
  <sheetFormatPr defaultRowHeight="14.5" x14ac:dyDescent="0.35"/>
  <cols>
    <col min="1" max="1" width="14.1796875" customWidth="1"/>
    <col min="2" max="2" width="33.08984375" bestFit="1" customWidth="1"/>
    <col min="3" max="3" width="9.453125" customWidth="1"/>
    <col min="4" max="4" width="22.81640625" customWidth="1"/>
    <col min="5" max="5" width="67.36328125" customWidth="1"/>
    <col min="6" max="7" width="10.90625" customWidth="1"/>
    <col min="8" max="8" width="19.26953125" bestFit="1" customWidth="1"/>
    <col min="9" max="9" width="13.7265625" customWidth="1"/>
    <col min="10" max="10" width="22.54296875" bestFit="1" customWidth="1"/>
    <col min="11" max="11" width="15.26953125" customWidth="1"/>
    <col min="12" max="12" width="13.7265625" customWidth="1"/>
    <col min="13" max="13" width="17.81640625" customWidth="1"/>
    <col min="14" max="14" width="15.26953125" customWidth="1"/>
    <col min="15" max="15" width="13.7265625" customWidth="1"/>
    <col min="16" max="16" width="17.81640625" customWidth="1"/>
    <col min="17" max="17" width="15.26953125" customWidth="1"/>
    <col min="18" max="18" width="13.7265625" customWidth="1"/>
    <col min="19" max="19" width="17.81640625" customWidth="1"/>
    <col min="20" max="20" width="15.26953125" bestFit="1" customWidth="1"/>
    <col min="21" max="21" width="13.7265625" bestFit="1" customWidth="1"/>
    <col min="22" max="22" width="17.81640625" bestFit="1" customWidth="1"/>
    <col min="23" max="23" width="9.90625" customWidth="1"/>
    <col min="24" max="24" width="15.26953125" bestFit="1" customWidth="1"/>
    <col min="25" max="25" width="13.7265625" bestFit="1" customWidth="1"/>
    <col min="26" max="26" width="17.81640625" bestFit="1" customWidth="1"/>
    <col min="27" max="27" width="17.81640625" customWidth="1"/>
    <col min="28" max="28" width="15.26953125" bestFit="1" customWidth="1"/>
    <col min="29" max="30" width="17.81640625" bestFit="1" customWidth="1"/>
  </cols>
  <sheetData>
    <row r="1" spans="1:33" ht="25" customHeight="1" x14ac:dyDescent="0.35">
      <c r="A1" s="90" t="s">
        <v>365</v>
      </c>
      <c r="B1" s="44"/>
      <c r="D1" s="106" t="s">
        <v>408</v>
      </c>
      <c r="F1" s="88" t="s">
        <v>339</v>
      </c>
      <c r="G1" s="89">
        <v>2025</v>
      </c>
      <c r="H1" s="123" t="s">
        <v>199</v>
      </c>
      <c r="I1" s="123"/>
      <c r="J1" s="124"/>
      <c r="K1" s="125" t="s">
        <v>309</v>
      </c>
      <c r="L1" s="126"/>
      <c r="M1" s="127"/>
      <c r="N1" s="128" t="s">
        <v>338</v>
      </c>
      <c r="O1" s="129"/>
      <c r="P1" s="130"/>
      <c r="Q1" s="125" t="s">
        <v>313</v>
      </c>
      <c r="R1" s="126"/>
      <c r="S1" s="127"/>
      <c r="T1" s="125" t="s">
        <v>314</v>
      </c>
      <c r="U1" s="126"/>
      <c r="V1" s="127"/>
      <c r="X1" s="125" t="s">
        <v>312</v>
      </c>
      <c r="Y1" s="126"/>
      <c r="Z1" s="127"/>
      <c r="AB1" s="125" t="s">
        <v>208</v>
      </c>
      <c r="AC1" s="126"/>
      <c r="AD1" s="127"/>
    </row>
    <row r="2" spans="1:33" x14ac:dyDescent="0.35">
      <c r="A2" s="91" t="s">
        <v>0</v>
      </c>
      <c r="B2" s="91" t="s">
        <v>200</v>
      </c>
      <c r="C2" s="91" t="s">
        <v>1</v>
      </c>
      <c r="D2" s="91" t="s">
        <v>196</v>
      </c>
      <c r="E2" s="91" t="s">
        <v>2</v>
      </c>
      <c r="F2" s="21" t="s">
        <v>340</v>
      </c>
      <c r="G2" s="96" t="s">
        <v>340</v>
      </c>
      <c r="H2" s="10" t="s">
        <v>198</v>
      </c>
      <c r="I2" s="10" t="s">
        <v>198</v>
      </c>
      <c r="J2" s="10" t="s">
        <v>198</v>
      </c>
      <c r="K2" s="11" t="s">
        <v>3</v>
      </c>
      <c r="L2" s="11" t="s">
        <v>3</v>
      </c>
      <c r="M2" s="11" t="s">
        <v>3</v>
      </c>
      <c r="N2" s="139" t="s">
        <v>379</v>
      </c>
      <c r="O2" s="139"/>
      <c r="P2" s="139"/>
      <c r="Q2" s="140" t="s">
        <v>336</v>
      </c>
      <c r="R2" s="140"/>
      <c r="S2" s="140"/>
      <c r="T2" s="140"/>
      <c r="U2" s="140"/>
      <c r="V2" s="140"/>
      <c r="X2" s="13" t="s">
        <v>198</v>
      </c>
      <c r="Y2" s="13" t="s">
        <v>198</v>
      </c>
      <c r="Z2" s="13" t="s">
        <v>198</v>
      </c>
      <c r="AB2" s="12"/>
      <c r="AC2" s="12"/>
      <c r="AD2" s="12"/>
    </row>
    <row r="3" spans="1:33" x14ac:dyDescent="0.35">
      <c r="A3" s="92"/>
      <c r="B3" s="92"/>
      <c r="C3" s="92"/>
      <c r="D3" s="92"/>
      <c r="E3" s="92"/>
      <c r="F3" s="22" t="s">
        <v>197</v>
      </c>
      <c r="G3" s="22" t="s">
        <v>197</v>
      </c>
      <c r="H3" s="14" t="s">
        <v>404</v>
      </c>
      <c r="I3" s="14" t="s">
        <v>203</v>
      </c>
      <c r="J3" s="14" t="s">
        <v>405</v>
      </c>
      <c r="K3" s="15" t="s">
        <v>202</v>
      </c>
      <c r="L3" s="15" t="s">
        <v>203</v>
      </c>
      <c r="M3" s="15" t="s">
        <v>204</v>
      </c>
      <c r="N3" s="24" t="s">
        <v>202</v>
      </c>
      <c r="O3" s="15" t="s">
        <v>203</v>
      </c>
      <c r="P3" s="15" t="s">
        <v>204</v>
      </c>
      <c r="Q3" s="16" t="s">
        <v>202</v>
      </c>
      <c r="R3" s="16" t="s">
        <v>203</v>
      </c>
      <c r="S3" s="31" t="s">
        <v>204</v>
      </c>
      <c r="T3" s="16" t="s">
        <v>202</v>
      </c>
      <c r="U3" s="16" t="s">
        <v>203</v>
      </c>
      <c r="V3" s="16" t="s">
        <v>204</v>
      </c>
      <c r="X3" s="18" t="s">
        <v>202</v>
      </c>
      <c r="Y3" s="18" t="s">
        <v>203</v>
      </c>
      <c r="Z3" s="18" t="s">
        <v>204</v>
      </c>
      <c r="AB3" s="17" t="s">
        <v>202</v>
      </c>
      <c r="AC3" s="17" t="s">
        <v>203</v>
      </c>
      <c r="AD3" s="17" t="s">
        <v>204</v>
      </c>
    </row>
    <row r="4" spans="1:33" x14ac:dyDescent="0.35">
      <c r="A4" s="2" t="s">
        <v>4</v>
      </c>
      <c r="B4" s="2" t="s">
        <v>5</v>
      </c>
      <c r="C4" t="s">
        <v>6</v>
      </c>
      <c r="D4" s="105" t="s">
        <v>7</v>
      </c>
      <c r="E4" s="106" t="s">
        <v>407</v>
      </c>
      <c r="F4" s="4">
        <v>246332</v>
      </c>
      <c r="G4" s="100">
        <v>246332</v>
      </c>
      <c r="H4" s="5"/>
      <c r="I4" s="5">
        <v>200700</v>
      </c>
      <c r="J4" s="5">
        <v>45632</v>
      </c>
      <c r="K4" s="6"/>
      <c r="L4" s="6">
        <v>200700</v>
      </c>
      <c r="M4" s="6">
        <v>45632</v>
      </c>
      <c r="N4" s="6"/>
      <c r="O4" s="6"/>
      <c r="P4" s="6"/>
      <c r="Q4" s="7"/>
      <c r="R4" s="7"/>
      <c r="S4" s="7"/>
      <c r="T4" s="23"/>
      <c r="U4" s="7"/>
      <c r="V4" s="7"/>
      <c r="X4" s="9"/>
      <c r="Y4" s="9"/>
      <c r="Z4" s="9"/>
      <c r="AB4" s="8"/>
      <c r="AC4" s="8"/>
      <c r="AD4" s="8"/>
      <c r="AE4" s="1"/>
      <c r="AF4" s="1"/>
      <c r="AG4" s="1"/>
    </row>
    <row r="5" spans="1:33" x14ac:dyDescent="0.35">
      <c r="A5" s="2" t="s">
        <v>4</v>
      </c>
      <c r="B5" s="2" t="s">
        <v>5</v>
      </c>
      <c r="C5" t="s">
        <v>11</v>
      </c>
      <c r="D5" s="2" t="s">
        <v>12</v>
      </c>
      <c r="E5" t="s">
        <v>13</v>
      </c>
      <c r="F5" s="4">
        <v>568260</v>
      </c>
      <c r="G5" s="101">
        <f t="shared" ref="G5:G65" si="0">H5+I5+J5</f>
        <v>286440</v>
      </c>
      <c r="H5" s="5">
        <v>286440</v>
      </c>
      <c r="I5" s="5"/>
      <c r="J5" s="5"/>
      <c r="K5" s="6">
        <v>286440</v>
      </c>
      <c r="L5" s="6"/>
      <c r="M5" s="6"/>
      <c r="N5" s="6"/>
      <c r="O5" s="6"/>
      <c r="P5" s="6"/>
      <c r="Q5" s="7"/>
      <c r="R5" s="7"/>
      <c r="S5" s="7"/>
      <c r="T5" s="23">
        <v>281820</v>
      </c>
      <c r="U5" s="7"/>
      <c r="V5" s="7"/>
      <c r="X5" s="9">
        <v>281820</v>
      </c>
      <c r="Y5" s="9"/>
      <c r="Z5" s="9"/>
      <c r="AB5" s="8"/>
      <c r="AC5" s="8"/>
      <c r="AD5" s="8"/>
      <c r="AE5" s="1"/>
      <c r="AF5" s="1"/>
      <c r="AG5" s="1"/>
    </row>
    <row r="6" spans="1:33" x14ac:dyDescent="0.35">
      <c r="A6" s="2" t="s">
        <v>4</v>
      </c>
      <c r="B6" s="2" t="s">
        <v>5</v>
      </c>
      <c r="C6" t="s">
        <v>11</v>
      </c>
      <c r="D6" s="2" t="s">
        <v>14</v>
      </c>
      <c r="E6" t="s">
        <v>15</v>
      </c>
      <c r="F6" s="4">
        <v>1003991</v>
      </c>
      <c r="G6" s="101">
        <f t="shared" si="0"/>
        <v>953400</v>
      </c>
      <c r="H6" s="5">
        <v>744000</v>
      </c>
      <c r="I6" s="5">
        <v>63000</v>
      </c>
      <c r="J6" s="5">
        <f>P6</f>
        <v>146400</v>
      </c>
      <c r="K6" s="6">
        <v>744000</v>
      </c>
      <c r="L6" s="6">
        <v>63000</v>
      </c>
      <c r="M6" s="6"/>
      <c r="N6" s="6"/>
      <c r="O6" s="6"/>
      <c r="P6" s="6">
        <v>146400</v>
      </c>
      <c r="Q6" s="7"/>
      <c r="R6" s="7"/>
      <c r="S6" s="7"/>
      <c r="T6" s="23"/>
      <c r="U6" s="7">
        <v>50591</v>
      </c>
      <c r="V6" s="7"/>
      <c r="X6" s="9"/>
      <c r="Y6" s="9">
        <v>63000</v>
      </c>
      <c r="Z6" s="9">
        <v>146400</v>
      </c>
      <c r="AB6" s="8"/>
      <c r="AC6" s="8"/>
      <c r="AD6" s="8"/>
      <c r="AE6" s="1"/>
      <c r="AF6" s="1"/>
      <c r="AG6" s="1"/>
    </row>
    <row r="7" spans="1:33" x14ac:dyDescent="0.35">
      <c r="A7" s="2" t="s">
        <v>4</v>
      </c>
      <c r="B7" s="2" t="s">
        <v>5</v>
      </c>
      <c r="C7" t="s">
        <v>11</v>
      </c>
      <c r="D7" s="2" t="s">
        <v>16</v>
      </c>
      <c r="E7" t="s">
        <v>17</v>
      </c>
      <c r="F7" s="4">
        <v>161600</v>
      </c>
      <c r="G7" s="101">
        <f t="shared" si="0"/>
        <v>161600</v>
      </c>
      <c r="H7" s="5"/>
      <c r="I7" s="5">
        <v>161600</v>
      </c>
      <c r="J7" s="5"/>
      <c r="K7" s="6"/>
      <c r="L7" s="6">
        <v>161600</v>
      </c>
      <c r="M7" s="6"/>
      <c r="N7" s="6"/>
      <c r="O7" s="6"/>
      <c r="P7" s="6"/>
      <c r="Q7" s="7"/>
      <c r="R7" s="7"/>
      <c r="S7" s="7"/>
      <c r="T7" s="23"/>
      <c r="U7" s="7"/>
      <c r="V7" s="7"/>
      <c r="X7" s="9"/>
      <c r="Y7" s="9"/>
      <c r="Z7" s="9"/>
      <c r="AB7" s="8"/>
      <c r="AC7" s="8"/>
      <c r="AD7" s="8"/>
      <c r="AE7" s="1"/>
      <c r="AF7" s="1"/>
      <c r="AG7" s="1"/>
    </row>
    <row r="8" spans="1:33" x14ac:dyDescent="0.35">
      <c r="A8" s="2" t="s">
        <v>4</v>
      </c>
      <c r="B8" s="2" t="s">
        <v>5</v>
      </c>
      <c r="C8" t="s">
        <v>18</v>
      </c>
      <c r="D8" s="2" t="s">
        <v>19</v>
      </c>
      <c r="E8" t="s">
        <v>10</v>
      </c>
      <c r="F8" s="4">
        <v>163382</v>
      </c>
      <c r="G8" s="101">
        <f t="shared" si="0"/>
        <v>163382</v>
      </c>
      <c r="H8" s="5"/>
      <c r="I8" s="5">
        <v>131142</v>
      </c>
      <c r="J8" s="5">
        <v>32240</v>
      </c>
      <c r="K8" s="6"/>
      <c r="L8" s="6">
        <v>131142</v>
      </c>
      <c r="M8" s="6">
        <v>32240</v>
      </c>
      <c r="N8" s="6"/>
      <c r="O8" s="6"/>
      <c r="P8" s="6"/>
      <c r="Q8" s="7"/>
      <c r="R8" s="7"/>
      <c r="S8" s="7"/>
      <c r="T8" s="23"/>
      <c r="U8" s="7"/>
      <c r="V8" s="7"/>
      <c r="X8" s="9"/>
      <c r="Y8" s="9"/>
      <c r="Z8" s="9"/>
      <c r="AB8" s="8"/>
      <c r="AC8" s="8"/>
      <c r="AD8" s="8"/>
      <c r="AE8" s="1"/>
      <c r="AF8" s="1"/>
      <c r="AG8" s="1"/>
    </row>
    <row r="9" spans="1:33" x14ac:dyDescent="0.35">
      <c r="A9" s="2" t="s">
        <v>4</v>
      </c>
      <c r="B9" s="2" t="s">
        <v>5</v>
      </c>
      <c r="D9" s="2" t="s">
        <v>20</v>
      </c>
      <c r="E9" t="s">
        <v>205</v>
      </c>
      <c r="F9" s="4">
        <v>185004.34</v>
      </c>
      <c r="G9" s="101">
        <f t="shared" si="0"/>
        <v>160880</v>
      </c>
      <c r="H9" s="5"/>
      <c r="I9" s="5">
        <v>80280</v>
      </c>
      <c r="J9" s="5">
        <v>80600</v>
      </c>
      <c r="K9" s="6"/>
      <c r="L9" s="6">
        <v>80280</v>
      </c>
      <c r="M9" s="6"/>
      <c r="N9" s="6"/>
      <c r="O9" s="6"/>
      <c r="P9" s="6">
        <v>80600</v>
      </c>
      <c r="Q9" s="7"/>
      <c r="R9" s="7"/>
      <c r="S9" s="7"/>
      <c r="T9" s="23"/>
      <c r="U9" s="7">
        <v>24124.34</v>
      </c>
      <c r="V9" s="7"/>
      <c r="X9" s="9"/>
      <c r="Y9" s="9">
        <v>70000</v>
      </c>
      <c r="Z9" s="9">
        <v>80600</v>
      </c>
      <c r="AB9" s="8"/>
      <c r="AC9" s="8"/>
      <c r="AD9" s="8"/>
      <c r="AE9" s="1"/>
      <c r="AF9" s="1"/>
      <c r="AG9" s="1"/>
    </row>
    <row r="10" spans="1:33" x14ac:dyDescent="0.35">
      <c r="A10" s="2" t="s">
        <v>4</v>
      </c>
      <c r="B10" s="2" t="s">
        <v>5</v>
      </c>
      <c r="D10" s="2" t="s">
        <v>25</v>
      </c>
      <c r="E10" t="s">
        <v>10</v>
      </c>
      <c r="F10" s="4">
        <v>109542</v>
      </c>
      <c r="G10" s="101">
        <f t="shared" si="0"/>
        <v>109542</v>
      </c>
      <c r="H10" s="5"/>
      <c r="I10" s="5">
        <v>66142</v>
      </c>
      <c r="J10" s="5">
        <v>43400</v>
      </c>
      <c r="K10" s="6"/>
      <c r="L10" s="6">
        <v>66142</v>
      </c>
      <c r="M10" s="6">
        <v>43400</v>
      </c>
      <c r="N10" s="6"/>
      <c r="O10" s="6"/>
      <c r="P10" s="6"/>
      <c r="Q10" s="7"/>
      <c r="R10" s="7"/>
      <c r="S10" s="7"/>
      <c r="T10" s="23"/>
      <c r="U10" s="7"/>
      <c r="V10" s="7"/>
      <c r="X10" s="9"/>
      <c r="Y10" s="9"/>
      <c r="Z10" s="9"/>
      <c r="AB10" s="8"/>
      <c r="AC10" s="8"/>
      <c r="AD10" s="8"/>
      <c r="AE10" s="1"/>
      <c r="AF10" s="1"/>
      <c r="AG10" s="1"/>
    </row>
    <row r="11" spans="1:33" x14ac:dyDescent="0.35">
      <c r="A11" s="2" t="s">
        <v>4</v>
      </c>
      <c r="B11" s="2" t="s">
        <v>26</v>
      </c>
      <c r="C11" t="s">
        <v>337</v>
      </c>
      <c r="D11" s="2" t="s">
        <v>28</v>
      </c>
      <c r="E11" t="s">
        <v>29</v>
      </c>
      <c r="F11" s="4">
        <v>93000</v>
      </c>
      <c r="G11" s="101">
        <f t="shared" si="0"/>
        <v>93000</v>
      </c>
      <c r="H11" s="5">
        <v>93000</v>
      </c>
      <c r="I11" s="5"/>
      <c r="J11" s="5"/>
      <c r="K11" s="6"/>
      <c r="L11" s="6"/>
      <c r="M11" s="6"/>
      <c r="N11" s="6">
        <v>93000</v>
      </c>
      <c r="O11" s="6"/>
      <c r="P11" s="6"/>
      <c r="Q11" s="7"/>
      <c r="R11" s="7"/>
      <c r="S11" s="7"/>
      <c r="T11" s="23"/>
      <c r="U11" s="7"/>
      <c r="V11" s="7"/>
      <c r="X11" s="9">
        <v>91500</v>
      </c>
      <c r="Y11" s="9"/>
      <c r="Z11" s="9"/>
      <c r="AB11" s="8">
        <v>90000</v>
      </c>
      <c r="AC11" s="8"/>
      <c r="AD11" s="8"/>
      <c r="AE11" s="1"/>
      <c r="AF11" s="1"/>
      <c r="AG11" s="1"/>
    </row>
    <row r="12" spans="1:33" x14ac:dyDescent="0.35">
      <c r="A12" s="2" t="s">
        <v>4</v>
      </c>
      <c r="B12" s="2" t="s">
        <v>26</v>
      </c>
      <c r="D12" s="2" t="s">
        <v>30</v>
      </c>
      <c r="E12" t="s">
        <v>31</v>
      </c>
      <c r="F12" s="4">
        <v>97173.959999999992</v>
      </c>
      <c r="G12" s="101">
        <f t="shared" si="0"/>
        <v>49600</v>
      </c>
      <c r="H12" s="5"/>
      <c r="I12" s="5"/>
      <c r="J12" s="5">
        <v>49600</v>
      </c>
      <c r="K12" s="6"/>
      <c r="L12" s="6"/>
      <c r="M12" s="6">
        <v>35576.839999999997</v>
      </c>
      <c r="N12" s="6"/>
      <c r="O12" s="6"/>
      <c r="P12" s="6">
        <v>14023.16</v>
      </c>
      <c r="Q12" s="7"/>
      <c r="R12" s="7"/>
      <c r="S12" s="7">
        <f>47519.96+54</f>
        <v>47573.96</v>
      </c>
      <c r="T12" s="23"/>
      <c r="U12" s="7"/>
      <c r="V12" s="7"/>
      <c r="X12" s="9"/>
      <c r="Y12" s="9"/>
      <c r="Z12" s="9">
        <v>48800</v>
      </c>
      <c r="AB12" s="8"/>
      <c r="AC12" s="8"/>
      <c r="AD12" s="8">
        <v>47520</v>
      </c>
      <c r="AE12" s="1"/>
      <c r="AF12" s="1"/>
      <c r="AG12" s="1"/>
    </row>
    <row r="13" spans="1:33" x14ac:dyDescent="0.35">
      <c r="A13" s="2" t="s">
        <v>4</v>
      </c>
      <c r="B13" s="2" t="s">
        <v>26</v>
      </c>
      <c r="D13" s="2" t="s">
        <v>32</v>
      </c>
      <c r="E13" t="s">
        <v>33</v>
      </c>
      <c r="F13" s="4">
        <v>123021.92</v>
      </c>
      <c r="G13" s="101">
        <f t="shared" si="0"/>
        <v>63359.040000000001</v>
      </c>
      <c r="H13" s="5"/>
      <c r="I13" s="5"/>
      <c r="J13" s="5">
        <v>63359.040000000001</v>
      </c>
      <c r="K13" s="6"/>
      <c r="L13" s="6"/>
      <c r="M13" s="6"/>
      <c r="N13" s="6"/>
      <c r="O13" s="6"/>
      <c r="P13" s="6">
        <v>63359.040000000001</v>
      </c>
      <c r="Q13" s="7"/>
      <c r="R13" s="7"/>
      <c r="S13" s="7"/>
      <c r="T13" s="23"/>
      <c r="U13" s="7"/>
      <c r="V13" s="7">
        <v>59662.879999999997</v>
      </c>
      <c r="X13" s="9"/>
      <c r="Y13" s="9"/>
      <c r="Z13" s="9">
        <v>122000</v>
      </c>
      <c r="AB13" s="8"/>
      <c r="AC13" s="8"/>
      <c r="AD13" s="8">
        <v>60000</v>
      </c>
      <c r="AE13" s="1"/>
      <c r="AF13" s="1"/>
      <c r="AG13" s="1"/>
    </row>
    <row r="14" spans="1:33" x14ac:dyDescent="0.35">
      <c r="A14" s="2" t="s">
        <v>4</v>
      </c>
      <c r="B14" s="2" t="s">
        <v>26</v>
      </c>
      <c r="D14" s="2" t="s">
        <v>36</v>
      </c>
      <c r="E14" t="s">
        <v>37</v>
      </c>
      <c r="F14" s="4">
        <v>54298.78</v>
      </c>
      <c r="G14" s="101">
        <f t="shared" si="0"/>
        <v>18600</v>
      </c>
      <c r="H14" s="5"/>
      <c r="I14" s="5"/>
      <c r="J14" s="5">
        <v>18600</v>
      </c>
      <c r="K14" s="6"/>
      <c r="L14" s="6"/>
      <c r="M14" s="6">
        <v>18600</v>
      </c>
      <c r="N14" s="6"/>
      <c r="O14" s="6"/>
      <c r="P14" s="6"/>
      <c r="Q14" s="7"/>
      <c r="R14" s="7"/>
      <c r="S14" s="7">
        <v>17400</v>
      </c>
      <c r="T14" s="23"/>
      <c r="U14" s="7"/>
      <c r="V14" s="7">
        <v>18298.78</v>
      </c>
      <c r="X14" s="9"/>
      <c r="Y14" s="9"/>
      <c r="Z14" s="9">
        <v>18300</v>
      </c>
      <c r="AB14" s="8"/>
      <c r="AC14" s="8"/>
      <c r="AD14" s="8">
        <v>17997.599999999999</v>
      </c>
      <c r="AE14" s="1"/>
      <c r="AF14" s="1"/>
      <c r="AG14" s="1"/>
    </row>
    <row r="15" spans="1:33" x14ac:dyDescent="0.35">
      <c r="A15" s="2" t="s">
        <v>4</v>
      </c>
      <c r="B15" s="2" t="s">
        <v>26</v>
      </c>
      <c r="D15" s="2" t="s">
        <v>38</v>
      </c>
      <c r="E15" t="s">
        <v>39</v>
      </c>
      <c r="F15" s="4">
        <v>73756.08</v>
      </c>
      <c r="G15" s="101">
        <f t="shared" si="0"/>
        <v>37200</v>
      </c>
      <c r="H15" s="5"/>
      <c r="I15" s="5"/>
      <c r="J15" s="5">
        <v>37200</v>
      </c>
      <c r="K15" s="6"/>
      <c r="L15" s="6"/>
      <c r="M15" s="6">
        <v>37200</v>
      </c>
      <c r="N15" s="6"/>
      <c r="O15" s="6"/>
      <c r="P15" s="6"/>
      <c r="Q15" s="7"/>
      <c r="R15" s="7"/>
      <c r="S15" s="7"/>
      <c r="T15" s="23"/>
      <c r="U15" s="7"/>
      <c r="V15" s="7">
        <v>36556.080000000002</v>
      </c>
      <c r="X15" s="9"/>
      <c r="Y15" s="9"/>
      <c r="Z15" s="9">
        <v>36597.56</v>
      </c>
      <c r="AB15" s="8"/>
      <c r="AC15" s="8"/>
      <c r="AD15" s="8"/>
      <c r="AE15" s="1"/>
      <c r="AF15" s="1"/>
      <c r="AG15" s="1"/>
    </row>
    <row r="16" spans="1:33" x14ac:dyDescent="0.35">
      <c r="A16" s="2" t="s">
        <v>4</v>
      </c>
      <c r="B16" s="2" t="s">
        <v>40</v>
      </c>
      <c r="C16" t="s">
        <v>337</v>
      </c>
      <c r="D16" s="2" t="s">
        <v>41</v>
      </c>
      <c r="E16" t="s">
        <v>382</v>
      </c>
      <c r="F16" s="4">
        <v>280000</v>
      </c>
      <c r="G16" s="101">
        <f>H16+I16+J16</f>
        <v>280000</v>
      </c>
      <c r="H16" s="5">
        <f>K16</f>
        <v>150000</v>
      </c>
      <c r="I16" s="5">
        <f t="shared" ref="I16:J16" si="1">L16</f>
        <v>105000</v>
      </c>
      <c r="J16" s="5">
        <f t="shared" si="1"/>
        <v>25000</v>
      </c>
      <c r="K16" s="6">
        <v>150000</v>
      </c>
      <c r="L16" s="6">
        <v>105000</v>
      </c>
      <c r="M16" s="6">
        <v>25000</v>
      </c>
      <c r="N16" s="6"/>
      <c r="O16" s="6"/>
      <c r="P16" s="6"/>
      <c r="Q16" s="7"/>
      <c r="R16" s="7"/>
      <c r="S16" s="7"/>
      <c r="T16" s="23"/>
      <c r="U16" s="7"/>
      <c r="V16" s="7"/>
      <c r="X16" s="9"/>
      <c r="Y16" s="9"/>
      <c r="Z16" s="9"/>
      <c r="AB16" s="8"/>
      <c r="AC16" s="8"/>
      <c r="AD16" s="8"/>
      <c r="AE16" s="1"/>
      <c r="AF16" s="1"/>
      <c r="AG16" s="1"/>
    </row>
    <row r="17" spans="1:33" x14ac:dyDescent="0.35">
      <c r="A17" s="2" t="s">
        <v>4</v>
      </c>
      <c r="B17" s="2" t="s">
        <v>40</v>
      </c>
      <c r="D17" s="2" t="s">
        <v>42</v>
      </c>
      <c r="E17" t="s">
        <v>43</v>
      </c>
      <c r="F17" s="4">
        <v>61709.52</v>
      </c>
      <c r="G17" s="101">
        <f t="shared" si="0"/>
        <v>43990.239999999998</v>
      </c>
      <c r="H17" s="5"/>
      <c r="I17" s="5"/>
      <c r="J17" s="5">
        <v>43990.239999999998</v>
      </c>
      <c r="K17" s="6"/>
      <c r="L17" s="6"/>
      <c r="M17" s="6"/>
      <c r="N17" s="6"/>
      <c r="O17" s="6"/>
      <c r="P17" s="6">
        <f>43990.24</f>
        <v>43990.239999999998</v>
      </c>
      <c r="Q17" s="7"/>
      <c r="R17" s="7"/>
      <c r="S17" s="7"/>
      <c r="T17" s="23"/>
      <c r="U17" s="7"/>
      <c r="V17" s="7">
        <v>17719.28</v>
      </c>
      <c r="X17" s="9"/>
      <c r="Y17" s="9"/>
      <c r="Z17" s="9">
        <v>61000</v>
      </c>
      <c r="AB17" s="8"/>
      <c r="AC17" s="8"/>
      <c r="AD17" s="8">
        <v>60000</v>
      </c>
      <c r="AE17" s="1"/>
      <c r="AF17" s="1"/>
      <c r="AG17" s="1"/>
    </row>
    <row r="18" spans="1:33" x14ac:dyDescent="0.35">
      <c r="A18" s="2" t="s">
        <v>4</v>
      </c>
      <c r="B18" s="2" t="s">
        <v>40</v>
      </c>
      <c r="D18" s="2" t="s">
        <v>44</v>
      </c>
      <c r="E18" t="s">
        <v>45</v>
      </c>
      <c r="F18" s="4">
        <v>349628</v>
      </c>
      <c r="G18" s="101">
        <f t="shared" si="0"/>
        <v>295777.2</v>
      </c>
      <c r="H18" s="5"/>
      <c r="I18" s="5"/>
      <c r="J18" s="5">
        <v>295777.2</v>
      </c>
      <c r="K18" s="6"/>
      <c r="L18" s="6"/>
      <c r="M18" s="6">
        <v>198400</v>
      </c>
      <c r="N18" s="6"/>
      <c r="O18" s="6"/>
      <c r="P18" s="6">
        <v>97377.2</v>
      </c>
      <c r="Q18" s="7"/>
      <c r="R18" s="7"/>
      <c r="S18" s="7"/>
      <c r="T18" s="23"/>
      <c r="U18" s="7"/>
      <c r="V18" s="7">
        <v>53850.8</v>
      </c>
      <c r="X18" s="9"/>
      <c r="Y18" s="9"/>
      <c r="Z18" s="9">
        <v>122000</v>
      </c>
      <c r="AB18" s="8"/>
      <c r="AC18" s="8"/>
      <c r="AD18" s="8">
        <v>120000</v>
      </c>
      <c r="AE18" s="1"/>
      <c r="AF18" s="1"/>
      <c r="AG18" s="1"/>
    </row>
    <row r="19" spans="1:33" x14ac:dyDescent="0.35">
      <c r="A19" s="2" t="s">
        <v>4</v>
      </c>
      <c r="B19" s="2" t="s">
        <v>40</v>
      </c>
      <c r="D19" s="2" t="s">
        <v>46</v>
      </c>
      <c r="E19" t="s">
        <v>47</v>
      </c>
      <c r="F19" s="4">
        <v>258933.4</v>
      </c>
      <c r="G19" s="101">
        <f t="shared" si="0"/>
        <v>219452</v>
      </c>
      <c r="H19" s="5"/>
      <c r="I19" s="5"/>
      <c r="J19" s="5">
        <f>M19+P19</f>
        <v>219452</v>
      </c>
      <c r="K19" s="6"/>
      <c r="L19" s="6"/>
      <c r="M19" s="6">
        <v>101008.44</v>
      </c>
      <c r="N19" s="6"/>
      <c r="O19" s="6"/>
      <c r="P19" s="6">
        <v>118443.56</v>
      </c>
      <c r="Q19" s="7"/>
      <c r="R19" s="7"/>
      <c r="S19" s="7"/>
      <c r="T19" s="23"/>
      <c r="U19" s="7"/>
      <c r="V19" s="7">
        <v>39481.4</v>
      </c>
      <c r="X19" s="9"/>
      <c r="Y19" s="9"/>
      <c r="Z19" s="9">
        <v>164700</v>
      </c>
      <c r="AB19" s="8"/>
      <c r="AC19" s="8"/>
      <c r="AD19" s="8">
        <v>162000</v>
      </c>
      <c r="AE19" s="1"/>
      <c r="AF19" s="1"/>
      <c r="AG19" s="1"/>
    </row>
    <row r="20" spans="1:33" x14ac:dyDescent="0.35">
      <c r="A20" s="2" t="s">
        <v>4</v>
      </c>
      <c r="B20" s="2" t="s">
        <v>40</v>
      </c>
      <c r="D20" s="2" t="s">
        <v>48</v>
      </c>
      <c r="E20" t="s">
        <v>49</v>
      </c>
      <c r="F20" s="4">
        <v>1071261.1800000002</v>
      </c>
      <c r="G20" s="101">
        <f t="shared" si="0"/>
        <v>1062673.6000000001</v>
      </c>
      <c r="H20" s="5"/>
      <c r="I20" s="5"/>
      <c r="J20" s="5">
        <f>M20+P20</f>
        <v>1062673.6000000001</v>
      </c>
      <c r="K20" s="6"/>
      <c r="L20" s="6"/>
      <c r="M20" s="6">
        <f>744000-100000</f>
        <v>644000</v>
      </c>
      <c r="N20" s="6"/>
      <c r="O20" s="6"/>
      <c r="P20" s="6">
        <v>418673.6</v>
      </c>
      <c r="Q20" s="7"/>
      <c r="R20" s="7"/>
      <c r="S20" s="7"/>
      <c r="T20" s="23"/>
      <c r="U20" s="7"/>
      <c r="V20" s="7">
        <v>8587.58</v>
      </c>
      <c r="X20" s="9"/>
      <c r="Y20" s="9"/>
      <c r="Z20" s="9">
        <v>427000</v>
      </c>
      <c r="AB20" s="8"/>
      <c r="AC20" s="8"/>
      <c r="AD20" s="8">
        <v>54000</v>
      </c>
      <c r="AE20" s="1"/>
      <c r="AF20" s="1"/>
      <c r="AG20" s="1"/>
    </row>
    <row r="21" spans="1:33" x14ac:dyDescent="0.35">
      <c r="A21" s="2" t="s">
        <v>4</v>
      </c>
      <c r="B21" s="2" t="s">
        <v>40</v>
      </c>
      <c r="D21" s="2" t="s">
        <v>396</v>
      </c>
      <c r="E21" t="s">
        <v>51</v>
      </c>
      <c r="F21" s="4">
        <f>95347-4207</f>
        <v>91140</v>
      </c>
      <c r="G21" s="101">
        <f t="shared" si="0"/>
        <v>51000</v>
      </c>
      <c r="H21" s="5"/>
      <c r="I21" s="5">
        <v>51000</v>
      </c>
      <c r="J21" s="5"/>
      <c r="K21" s="6"/>
      <c r="L21" s="6">
        <v>51000</v>
      </c>
      <c r="M21" s="6"/>
      <c r="N21" s="6"/>
      <c r="O21" s="6"/>
      <c r="P21" s="6"/>
      <c r="Q21" s="7"/>
      <c r="R21" s="7"/>
      <c r="S21" s="7"/>
      <c r="T21" s="23"/>
      <c r="U21" s="7">
        <v>44347</v>
      </c>
      <c r="V21" s="7"/>
      <c r="X21" s="9"/>
      <c r="Y21" s="9">
        <v>40140</v>
      </c>
      <c r="Z21" s="9"/>
      <c r="AA21" s="1"/>
      <c r="AB21" s="8"/>
      <c r="AC21" s="8"/>
      <c r="AD21" s="8"/>
      <c r="AE21" s="1"/>
      <c r="AF21" s="1"/>
      <c r="AG21" s="1"/>
    </row>
    <row r="22" spans="1:33" x14ac:dyDescent="0.35">
      <c r="A22" s="2" t="s">
        <v>4</v>
      </c>
      <c r="B22" s="2" t="s">
        <v>40</v>
      </c>
      <c r="D22" s="2" t="s">
        <v>52</v>
      </c>
      <c r="E22" t="s">
        <v>53</v>
      </c>
      <c r="F22" s="4">
        <v>81359.839999999997</v>
      </c>
      <c r="G22" s="101">
        <f t="shared" si="0"/>
        <v>45970.080000000002</v>
      </c>
      <c r="H22" s="5"/>
      <c r="I22" s="5"/>
      <c r="J22" s="5">
        <f>P22</f>
        <v>45970.080000000002</v>
      </c>
      <c r="K22" s="6"/>
      <c r="L22" s="6"/>
      <c r="M22" s="6"/>
      <c r="N22" s="6"/>
      <c r="O22" s="6"/>
      <c r="P22" s="6">
        <f>112830.08-66860</f>
        <v>45970.080000000002</v>
      </c>
      <c r="Q22" s="7"/>
      <c r="R22" s="7"/>
      <c r="S22" s="7"/>
      <c r="T22" s="23"/>
      <c r="U22" s="7"/>
      <c r="V22" s="7">
        <v>35389.760000000002</v>
      </c>
      <c r="X22" s="9"/>
      <c r="Y22" s="9"/>
      <c r="Z22" s="9">
        <v>146400</v>
      </c>
      <c r="AB22" s="8"/>
      <c r="AC22" s="8"/>
      <c r="AD22" s="8">
        <v>144000</v>
      </c>
      <c r="AE22" s="1"/>
      <c r="AF22" s="1"/>
      <c r="AG22" s="1"/>
    </row>
    <row r="23" spans="1:33" x14ac:dyDescent="0.35">
      <c r="A23" s="2" t="s">
        <v>4</v>
      </c>
      <c r="B23" s="2" t="s">
        <v>40</v>
      </c>
      <c r="D23" s="2" t="s">
        <v>54</v>
      </c>
      <c r="E23" t="s">
        <v>55</v>
      </c>
      <c r="F23" s="4">
        <v>68154.240000000005</v>
      </c>
      <c r="G23" s="101">
        <f t="shared" si="0"/>
        <v>59287.520000000004</v>
      </c>
      <c r="H23" s="5"/>
      <c r="I23" s="5"/>
      <c r="J23" s="5">
        <f>P23</f>
        <v>59287.520000000004</v>
      </c>
      <c r="K23" s="6"/>
      <c r="L23" s="6"/>
      <c r="M23" s="6"/>
      <c r="N23" s="6"/>
      <c r="O23" s="6"/>
      <c r="P23" s="6">
        <f>87262.52-27975</f>
        <v>59287.520000000004</v>
      </c>
      <c r="Q23" s="7"/>
      <c r="R23" s="7"/>
      <c r="S23" s="7"/>
      <c r="T23" s="23"/>
      <c r="U23" s="7"/>
      <c r="V23" s="7">
        <v>8866.7199999999993</v>
      </c>
      <c r="X23" s="9"/>
      <c r="Y23" s="9"/>
      <c r="Z23" s="9">
        <v>97600</v>
      </c>
      <c r="AB23" s="8"/>
      <c r="AC23" s="8"/>
      <c r="AD23" s="8"/>
      <c r="AE23" s="1"/>
      <c r="AF23" s="1"/>
      <c r="AG23" s="1"/>
    </row>
    <row r="24" spans="1:33" x14ac:dyDescent="0.35">
      <c r="A24" s="2" t="s">
        <v>4</v>
      </c>
      <c r="B24" s="2" t="s">
        <v>40</v>
      </c>
      <c r="D24" s="2" t="s">
        <v>397</v>
      </c>
      <c r="E24" t="s">
        <v>51</v>
      </c>
      <c r="F24" s="4">
        <f>111689-5496</f>
        <v>106193</v>
      </c>
      <c r="G24" s="101">
        <f t="shared" si="0"/>
        <v>51000</v>
      </c>
      <c r="H24" s="5"/>
      <c r="I24" s="5">
        <v>51000</v>
      </c>
      <c r="J24" s="5"/>
      <c r="K24" s="6"/>
      <c r="L24" s="6">
        <v>51000</v>
      </c>
      <c r="M24" s="6"/>
      <c r="N24" s="6"/>
      <c r="O24" s="6"/>
      <c r="P24" s="6"/>
      <c r="Q24" s="7"/>
      <c r="R24" s="7"/>
      <c r="S24" s="7"/>
      <c r="T24" s="23"/>
      <c r="U24" s="7">
        <v>60689</v>
      </c>
      <c r="V24" s="7"/>
      <c r="X24" s="9"/>
      <c r="Y24" s="9">
        <v>55193</v>
      </c>
      <c r="Z24" s="9"/>
      <c r="AA24" s="1"/>
      <c r="AB24" s="8"/>
      <c r="AC24" s="8"/>
      <c r="AD24" s="8"/>
      <c r="AE24" s="1"/>
      <c r="AF24" s="1"/>
      <c r="AG24" s="1"/>
    </row>
    <row r="25" spans="1:33" x14ac:dyDescent="0.35">
      <c r="A25" s="2" t="s">
        <v>4</v>
      </c>
      <c r="B25" s="2" t="s">
        <v>40</v>
      </c>
      <c r="D25" s="2" t="s">
        <v>57</v>
      </c>
      <c r="E25" t="s">
        <v>381</v>
      </c>
      <c r="F25" s="4">
        <v>224593.8</v>
      </c>
      <c r="G25" s="101">
        <f t="shared" si="0"/>
        <v>165899.6</v>
      </c>
      <c r="H25" s="5">
        <v>52972.800000000003</v>
      </c>
      <c r="I25" s="5"/>
      <c r="J25" s="5">
        <v>112926.8</v>
      </c>
      <c r="K25" s="6"/>
      <c r="L25" s="6"/>
      <c r="M25" s="6"/>
      <c r="N25" s="6">
        <v>52972.800000000003</v>
      </c>
      <c r="O25" s="6"/>
      <c r="P25" s="6">
        <v>112926.8</v>
      </c>
      <c r="Q25" s="7"/>
      <c r="R25" s="7"/>
      <c r="S25" s="7"/>
      <c r="T25" s="23"/>
      <c r="U25" s="7"/>
      <c r="V25" s="7">
        <v>58694.2</v>
      </c>
      <c r="X25" s="9">
        <v>97600</v>
      </c>
      <c r="Y25" s="9"/>
      <c r="Z25" s="9">
        <v>122000</v>
      </c>
      <c r="AB25" s="8"/>
      <c r="AC25" s="8"/>
      <c r="AD25" s="8">
        <v>120000</v>
      </c>
      <c r="AE25" s="1"/>
      <c r="AF25" s="1"/>
      <c r="AG25" s="1"/>
    </row>
    <row r="26" spans="1:33" x14ac:dyDescent="0.35">
      <c r="A26" s="2" t="s">
        <v>4</v>
      </c>
      <c r="B26" s="2" t="s">
        <v>40</v>
      </c>
      <c r="D26" s="2" t="s">
        <v>58</v>
      </c>
      <c r="E26" t="s">
        <v>59</v>
      </c>
      <c r="F26" s="4">
        <v>124000</v>
      </c>
      <c r="G26" s="101">
        <f t="shared" si="0"/>
        <v>124000</v>
      </c>
      <c r="H26" s="5"/>
      <c r="I26" s="5"/>
      <c r="J26" s="5">
        <v>124000</v>
      </c>
      <c r="K26" s="6"/>
      <c r="L26" s="6"/>
      <c r="M26" s="6">
        <v>124000</v>
      </c>
      <c r="N26" s="6"/>
      <c r="O26" s="6"/>
      <c r="P26" s="6"/>
      <c r="Q26" s="7"/>
      <c r="R26" s="7"/>
      <c r="S26" s="7"/>
      <c r="T26" s="23"/>
      <c r="U26" s="7"/>
      <c r="V26" s="7"/>
      <c r="X26" s="9"/>
      <c r="Y26" s="9"/>
      <c r="Z26" s="9"/>
      <c r="AB26" s="8"/>
      <c r="AC26" s="8"/>
      <c r="AD26" s="8"/>
      <c r="AE26" s="1"/>
      <c r="AF26" s="1"/>
      <c r="AG26" s="1"/>
    </row>
    <row r="27" spans="1:33" x14ac:dyDescent="0.35">
      <c r="A27" s="2" t="s">
        <v>4</v>
      </c>
      <c r="B27" s="2" t="s">
        <v>40</v>
      </c>
      <c r="D27" s="2" t="s">
        <v>60</v>
      </c>
      <c r="E27" t="s">
        <v>61</v>
      </c>
      <c r="F27" s="4">
        <v>124000</v>
      </c>
      <c r="G27" s="101">
        <f t="shared" si="0"/>
        <v>124000</v>
      </c>
      <c r="H27" s="5"/>
      <c r="I27" s="5"/>
      <c r="J27" s="5">
        <v>124000</v>
      </c>
      <c r="K27" s="6"/>
      <c r="L27" s="6"/>
      <c r="M27" s="6">
        <v>124000</v>
      </c>
      <c r="N27" s="6"/>
      <c r="O27" s="6"/>
      <c r="P27" s="6"/>
      <c r="Q27" s="7"/>
      <c r="R27" s="7"/>
      <c r="S27" s="7"/>
      <c r="T27" s="23"/>
      <c r="U27" s="7"/>
      <c r="V27" s="7"/>
      <c r="X27" s="9"/>
      <c r="Y27" s="9"/>
      <c r="Z27" s="9"/>
      <c r="AB27" s="8"/>
      <c r="AC27" s="8"/>
      <c r="AD27" s="8"/>
      <c r="AE27" s="1"/>
      <c r="AF27" s="1"/>
      <c r="AG27" s="1"/>
    </row>
    <row r="28" spans="1:33" x14ac:dyDescent="0.35">
      <c r="A28" s="2" t="s">
        <v>4</v>
      </c>
      <c r="B28" s="2" t="s">
        <v>62</v>
      </c>
      <c r="D28" s="2" t="s">
        <v>63</v>
      </c>
      <c r="E28" t="s">
        <v>64</v>
      </c>
      <c r="F28" s="4">
        <v>37988.720000000001</v>
      </c>
      <c r="G28" s="101">
        <f t="shared" si="0"/>
        <v>34720</v>
      </c>
      <c r="H28" s="5"/>
      <c r="I28" s="5"/>
      <c r="J28" s="5">
        <v>34720</v>
      </c>
      <c r="K28" s="6"/>
      <c r="L28" s="6"/>
      <c r="M28" s="6"/>
      <c r="N28" s="6"/>
      <c r="O28" s="6"/>
      <c r="P28" s="6">
        <v>34720</v>
      </c>
      <c r="Q28" s="7"/>
      <c r="R28" s="7"/>
      <c r="S28" s="7"/>
      <c r="T28" s="23"/>
      <c r="U28" s="7"/>
      <c r="V28" s="7">
        <v>3268.72</v>
      </c>
      <c r="X28" s="9"/>
      <c r="Y28" s="9"/>
      <c r="Z28" s="9">
        <v>39040</v>
      </c>
      <c r="AB28" s="8"/>
      <c r="AC28" s="8"/>
      <c r="AD28" s="8"/>
      <c r="AE28" s="1"/>
      <c r="AF28" s="1"/>
      <c r="AG28" s="1"/>
    </row>
    <row r="29" spans="1:33" x14ac:dyDescent="0.35">
      <c r="A29" s="2" t="s">
        <v>4</v>
      </c>
      <c r="B29" s="2" t="s">
        <v>62</v>
      </c>
      <c r="D29" s="2" t="s">
        <v>65</v>
      </c>
      <c r="E29" t="s">
        <v>66</v>
      </c>
      <c r="F29" s="4">
        <v>316077.21999999997</v>
      </c>
      <c r="G29" s="101">
        <f t="shared" si="0"/>
        <v>239200</v>
      </c>
      <c r="H29" s="5"/>
      <c r="I29" s="5">
        <v>239200</v>
      </c>
      <c r="J29" s="5"/>
      <c r="K29" s="6"/>
      <c r="L29" s="6">
        <v>239200</v>
      </c>
      <c r="M29" s="6"/>
      <c r="N29" s="6"/>
      <c r="O29" s="6"/>
      <c r="P29" s="6"/>
      <c r="Q29" s="7"/>
      <c r="R29" s="7"/>
      <c r="S29" s="7"/>
      <c r="T29" s="23"/>
      <c r="U29" s="7">
        <v>76877.22</v>
      </c>
      <c r="V29" s="7"/>
      <c r="X29" s="9"/>
      <c r="Y29" s="9">
        <v>239200</v>
      </c>
      <c r="Z29" s="9"/>
      <c r="AB29" s="8"/>
      <c r="AC29" s="8"/>
      <c r="AD29" s="8"/>
      <c r="AE29" s="1"/>
      <c r="AF29" s="1"/>
      <c r="AG29" s="1"/>
    </row>
    <row r="30" spans="1:33" x14ac:dyDescent="0.35">
      <c r="A30" s="2" t="s">
        <v>4</v>
      </c>
      <c r="B30" s="2" t="s">
        <v>62</v>
      </c>
      <c r="D30" s="2" t="s">
        <v>67</v>
      </c>
      <c r="E30" t="s">
        <v>68</v>
      </c>
      <c r="F30" s="4">
        <v>49600</v>
      </c>
      <c r="G30" s="101">
        <f t="shared" si="0"/>
        <v>49600</v>
      </c>
      <c r="H30" s="5"/>
      <c r="I30" s="5"/>
      <c r="J30" s="5">
        <v>49600</v>
      </c>
      <c r="K30" s="6"/>
      <c r="L30" s="6"/>
      <c r="M30" s="6"/>
      <c r="N30" s="6"/>
      <c r="O30" s="6"/>
      <c r="P30" s="6">
        <v>49600</v>
      </c>
      <c r="Q30" s="7"/>
      <c r="R30" s="7"/>
      <c r="S30" s="7"/>
      <c r="T30" s="23"/>
      <c r="U30" s="7"/>
      <c r="V30" s="7"/>
      <c r="X30" s="9"/>
      <c r="Y30" s="9"/>
      <c r="Z30" s="9">
        <v>48800</v>
      </c>
      <c r="AB30" s="8"/>
      <c r="AC30" s="8"/>
      <c r="AD30" s="8"/>
      <c r="AE30" s="1"/>
      <c r="AF30" s="1"/>
      <c r="AG30" s="1"/>
    </row>
    <row r="31" spans="1:33" x14ac:dyDescent="0.35">
      <c r="A31" s="2" t="s">
        <v>4</v>
      </c>
      <c r="B31" s="2" t="s">
        <v>62</v>
      </c>
      <c r="D31" s="2" t="s">
        <v>69</v>
      </c>
      <c r="E31" t="s">
        <v>70</v>
      </c>
      <c r="F31" s="4">
        <v>37200</v>
      </c>
      <c r="G31" s="101">
        <f t="shared" si="0"/>
        <v>37200</v>
      </c>
      <c r="H31" s="5"/>
      <c r="I31" s="5"/>
      <c r="J31" s="5">
        <v>37200</v>
      </c>
      <c r="K31" s="6"/>
      <c r="L31" s="6"/>
      <c r="M31" s="6"/>
      <c r="N31" s="6"/>
      <c r="O31" s="6"/>
      <c r="P31" s="6">
        <v>37200</v>
      </c>
      <c r="Q31" s="7"/>
      <c r="R31" s="7"/>
      <c r="S31" s="7"/>
      <c r="T31" s="23"/>
      <c r="U31" s="7"/>
      <c r="V31" s="7"/>
      <c r="X31" s="9">
        <v>36600</v>
      </c>
      <c r="Y31" s="9"/>
      <c r="Z31" s="9"/>
      <c r="AB31" s="8"/>
      <c r="AC31" s="8"/>
      <c r="AD31" s="8"/>
      <c r="AE31" s="1"/>
      <c r="AF31" s="1"/>
      <c r="AG31" s="1"/>
    </row>
    <row r="32" spans="1:33" x14ac:dyDescent="0.35">
      <c r="A32" s="2" t="s">
        <v>4</v>
      </c>
      <c r="B32" s="2" t="s">
        <v>62</v>
      </c>
      <c r="D32" s="2" t="s">
        <v>71</v>
      </c>
      <c r="E32" t="s">
        <v>72</v>
      </c>
      <c r="F32" s="4">
        <v>49600</v>
      </c>
      <c r="G32" s="101">
        <f t="shared" si="0"/>
        <v>49600</v>
      </c>
      <c r="H32" s="5"/>
      <c r="I32" s="5"/>
      <c r="J32" s="5">
        <v>49600</v>
      </c>
      <c r="K32" s="6"/>
      <c r="L32" s="6"/>
      <c r="M32" s="6">
        <v>12400</v>
      </c>
      <c r="N32" s="6"/>
      <c r="O32" s="6"/>
      <c r="P32" s="6">
        <v>37200</v>
      </c>
      <c r="Q32" s="7"/>
      <c r="R32" s="7"/>
      <c r="S32" s="7"/>
      <c r="T32" s="23"/>
      <c r="U32" s="7"/>
      <c r="V32" s="7"/>
      <c r="X32" s="9"/>
      <c r="Y32" s="9"/>
      <c r="Z32" s="9">
        <v>36600</v>
      </c>
      <c r="AB32" s="8"/>
      <c r="AC32" s="8"/>
      <c r="AD32" s="8"/>
      <c r="AE32" s="1"/>
      <c r="AF32" s="1"/>
      <c r="AG32" s="1"/>
    </row>
    <row r="33" spans="1:33" x14ac:dyDescent="0.35">
      <c r="A33" s="2" t="s">
        <v>4</v>
      </c>
      <c r="B33" s="2" t="s">
        <v>76</v>
      </c>
      <c r="D33" s="2" t="s">
        <v>77</v>
      </c>
      <c r="E33" t="s">
        <v>78</v>
      </c>
      <c r="F33" s="4">
        <v>119410.68</v>
      </c>
      <c r="G33" s="101">
        <f t="shared" si="0"/>
        <v>113999.67999999999</v>
      </c>
      <c r="H33" s="5"/>
      <c r="I33" s="5">
        <v>59400</v>
      </c>
      <c r="J33" s="5">
        <v>54599.68</v>
      </c>
      <c r="K33" s="6"/>
      <c r="L33" s="6">
        <v>59400</v>
      </c>
      <c r="M33" s="6"/>
      <c r="N33" s="6"/>
      <c r="O33" s="6"/>
      <c r="P33" s="6">
        <v>54599.68</v>
      </c>
      <c r="Q33" s="7"/>
      <c r="R33" s="7"/>
      <c r="S33" s="7"/>
      <c r="T33" s="23"/>
      <c r="U33" s="7">
        <v>5411</v>
      </c>
      <c r="V33" s="7"/>
      <c r="X33" s="9"/>
      <c r="Y33" s="9">
        <v>59400</v>
      </c>
      <c r="Z33" s="9">
        <v>101455.2</v>
      </c>
      <c r="AB33" s="8"/>
      <c r="AC33" s="8">
        <v>52182</v>
      </c>
      <c r="AD33" s="8">
        <v>146745.60000000001</v>
      </c>
      <c r="AE33" s="1"/>
      <c r="AF33" s="1"/>
      <c r="AG33" s="1"/>
    </row>
    <row r="34" spans="1:33" x14ac:dyDescent="0.35">
      <c r="A34" s="2" t="s">
        <v>4</v>
      </c>
      <c r="B34" s="2" t="s">
        <v>79</v>
      </c>
      <c r="D34" s="2" t="s">
        <v>80</v>
      </c>
      <c r="E34" t="s">
        <v>81</v>
      </c>
      <c r="F34" s="4">
        <v>8680</v>
      </c>
      <c r="G34" s="101">
        <f t="shared" si="0"/>
        <v>8680</v>
      </c>
      <c r="H34" s="5"/>
      <c r="I34" s="5"/>
      <c r="J34" s="5">
        <v>8680</v>
      </c>
      <c r="K34" s="6"/>
      <c r="L34" s="6"/>
      <c r="M34" s="6">
        <v>8680</v>
      </c>
      <c r="N34" s="6"/>
      <c r="O34" s="6"/>
      <c r="P34" s="6"/>
      <c r="Q34" s="7"/>
      <c r="R34" s="7"/>
      <c r="S34" s="7"/>
      <c r="T34" s="23"/>
      <c r="U34" s="7"/>
      <c r="V34" s="7"/>
      <c r="X34" s="9"/>
      <c r="Y34" s="9"/>
      <c r="Z34" s="9"/>
      <c r="AB34" s="8"/>
      <c r="AC34" s="8"/>
      <c r="AD34" s="8"/>
      <c r="AE34" s="1"/>
      <c r="AF34" s="1"/>
      <c r="AG34" s="1"/>
    </row>
    <row r="35" spans="1:33" x14ac:dyDescent="0.35">
      <c r="A35" s="2" t="s">
        <v>4</v>
      </c>
      <c r="B35" s="2" t="s">
        <v>82</v>
      </c>
      <c r="D35" s="2" t="s">
        <v>83</v>
      </c>
      <c r="E35" t="s">
        <v>388</v>
      </c>
      <c r="F35" s="4">
        <v>36890</v>
      </c>
      <c r="G35" s="101">
        <f t="shared" si="0"/>
        <v>36890</v>
      </c>
      <c r="H35" s="5"/>
      <c r="I35" s="5"/>
      <c r="J35" s="5">
        <v>36890</v>
      </c>
      <c r="K35" s="6"/>
      <c r="L35" s="6"/>
      <c r="M35" s="6">
        <v>21080</v>
      </c>
      <c r="N35" s="6"/>
      <c r="O35" s="6"/>
      <c r="P35" s="6">
        <v>15810</v>
      </c>
      <c r="Q35" s="7"/>
      <c r="R35" s="7"/>
      <c r="S35" s="7"/>
      <c r="T35" s="23"/>
      <c r="U35" s="7"/>
      <c r="V35" s="7"/>
      <c r="X35" s="9"/>
      <c r="Y35" s="9"/>
      <c r="Z35" s="9">
        <v>15860</v>
      </c>
      <c r="AB35" s="8"/>
      <c r="AC35" s="8"/>
      <c r="AD35" s="8"/>
      <c r="AE35" s="1"/>
      <c r="AF35" s="1"/>
      <c r="AG35" s="1"/>
    </row>
    <row r="36" spans="1:33" x14ac:dyDescent="0.35">
      <c r="A36" s="2" t="s">
        <v>4</v>
      </c>
      <c r="B36" s="2" t="s">
        <v>82</v>
      </c>
      <c r="D36" s="2" t="s">
        <v>85</v>
      </c>
      <c r="E36" t="s">
        <v>389</v>
      </c>
      <c r="F36" s="4">
        <v>31829.05</v>
      </c>
      <c r="G36" s="101">
        <f t="shared" si="0"/>
        <v>31000</v>
      </c>
      <c r="H36" s="5"/>
      <c r="I36" s="5"/>
      <c r="J36" s="5">
        <v>31000</v>
      </c>
      <c r="K36" s="6"/>
      <c r="L36" s="6"/>
      <c r="M36" s="6"/>
      <c r="N36" s="6"/>
      <c r="O36" s="6"/>
      <c r="P36" s="6">
        <v>31000</v>
      </c>
      <c r="Q36" s="7"/>
      <c r="R36" s="7"/>
      <c r="S36" s="7"/>
      <c r="T36" s="23"/>
      <c r="U36" s="7"/>
      <c r="V36" s="7">
        <v>829.05</v>
      </c>
      <c r="X36" s="9"/>
      <c r="Y36" s="9"/>
      <c r="Z36" s="9">
        <v>30500</v>
      </c>
      <c r="AB36" s="8"/>
      <c r="AC36" s="8"/>
      <c r="AD36" s="8"/>
      <c r="AE36" s="1"/>
      <c r="AF36" s="1"/>
      <c r="AG36" s="1"/>
    </row>
    <row r="37" spans="1:33" x14ac:dyDescent="0.35">
      <c r="A37" s="2" t="s">
        <v>4</v>
      </c>
      <c r="B37" s="2" t="s">
        <v>82</v>
      </c>
      <c r="C37" t="s">
        <v>250</v>
      </c>
      <c r="D37" s="2" t="s">
        <v>87</v>
      </c>
      <c r="E37" t="s">
        <v>387</v>
      </c>
      <c r="F37" s="4">
        <v>73684</v>
      </c>
      <c r="G37" s="101">
        <f>J37</f>
        <v>73684</v>
      </c>
      <c r="H37" s="5"/>
      <c r="I37" s="5"/>
      <c r="J37" s="5">
        <f>M37+P37</f>
        <v>73684</v>
      </c>
      <c r="K37" s="6"/>
      <c r="L37" s="6"/>
      <c r="M37" s="6">
        <f>73684-P37</f>
        <v>11684</v>
      </c>
      <c r="N37" s="6"/>
      <c r="O37" s="6"/>
      <c r="P37" s="6">
        <v>62000</v>
      </c>
      <c r="Q37" s="7"/>
      <c r="R37" s="7"/>
      <c r="S37" s="7"/>
      <c r="T37" s="23"/>
      <c r="U37" s="7"/>
      <c r="V37" s="7"/>
      <c r="X37" s="9"/>
      <c r="Y37" s="9"/>
      <c r="Z37" s="9"/>
      <c r="AB37" s="8"/>
      <c r="AC37" s="8"/>
      <c r="AD37" s="8"/>
      <c r="AE37" s="1"/>
      <c r="AF37" s="1"/>
      <c r="AG37" s="1"/>
    </row>
    <row r="38" spans="1:33" x14ac:dyDescent="0.35">
      <c r="A38" s="2" t="s">
        <v>4</v>
      </c>
      <c r="B38" s="2" t="s">
        <v>82</v>
      </c>
      <c r="C38" t="s">
        <v>250</v>
      </c>
      <c r="D38" s="2" t="s">
        <v>385</v>
      </c>
      <c r="E38" t="s">
        <v>386</v>
      </c>
      <c r="F38" s="4">
        <v>143857.35999999999</v>
      </c>
      <c r="G38" s="101">
        <f>H38</f>
        <v>143857.35999999999</v>
      </c>
      <c r="H38" s="5">
        <f>K38</f>
        <v>143857.35999999999</v>
      </c>
      <c r="I38" s="5"/>
      <c r="J38" s="5"/>
      <c r="K38" s="6">
        <v>143857.35999999999</v>
      </c>
      <c r="L38" s="6"/>
      <c r="M38" s="6"/>
      <c r="N38" s="6"/>
      <c r="O38" s="6"/>
      <c r="P38" s="6"/>
      <c r="Q38" s="7"/>
      <c r="R38" s="7"/>
      <c r="S38" s="7"/>
      <c r="T38" s="23"/>
      <c r="U38" s="7"/>
      <c r="V38" s="7"/>
      <c r="X38" s="9"/>
      <c r="Y38" s="9"/>
      <c r="Z38" s="9"/>
      <c r="AB38" s="8"/>
      <c r="AC38" s="8"/>
      <c r="AD38" s="8"/>
      <c r="AE38" s="1"/>
      <c r="AF38" s="1"/>
      <c r="AG38" s="1"/>
    </row>
    <row r="39" spans="1:33" x14ac:dyDescent="0.35">
      <c r="A39" s="2" t="s">
        <v>4</v>
      </c>
      <c r="B39" s="2" t="s">
        <v>82</v>
      </c>
      <c r="D39" s="105" t="s">
        <v>399</v>
      </c>
      <c r="E39" s="106" t="s">
        <v>387</v>
      </c>
      <c r="F39" s="4">
        <f>G39</f>
        <v>1716</v>
      </c>
      <c r="G39" s="101">
        <f t="shared" si="0"/>
        <v>1716</v>
      </c>
      <c r="H39" s="5"/>
      <c r="I39" s="5"/>
      <c r="J39" s="5">
        <f>M39</f>
        <v>1716</v>
      </c>
      <c r="K39" s="6"/>
      <c r="L39" s="6"/>
      <c r="M39" s="6">
        <f>12400-M37+1000</f>
        <v>1716</v>
      </c>
      <c r="N39" s="6"/>
      <c r="O39" s="6"/>
      <c r="P39" s="6"/>
      <c r="Q39" s="7"/>
      <c r="R39" s="7"/>
      <c r="S39" s="7"/>
      <c r="T39" s="23"/>
      <c r="U39" s="7"/>
      <c r="V39" s="7"/>
      <c r="X39" s="9"/>
      <c r="Y39" s="9"/>
      <c r="Z39" s="9">
        <v>61000</v>
      </c>
      <c r="AB39" s="8"/>
      <c r="AC39" s="8"/>
      <c r="AD39" s="8"/>
      <c r="AE39" s="1"/>
      <c r="AF39" s="1"/>
      <c r="AG39" s="1"/>
    </row>
    <row r="40" spans="1:33" x14ac:dyDescent="0.35">
      <c r="A40" s="2" t="s">
        <v>4</v>
      </c>
      <c r="B40" s="2" t="s">
        <v>89</v>
      </c>
      <c r="D40" s="2" t="s">
        <v>90</v>
      </c>
      <c r="E40" t="s">
        <v>91</v>
      </c>
      <c r="F40" s="4">
        <v>110527.86</v>
      </c>
      <c r="G40" s="101">
        <f t="shared" si="0"/>
        <v>74400</v>
      </c>
      <c r="H40" s="5"/>
      <c r="I40" s="5"/>
      <c r="J40" s="5">
        <v>74400</v>
      </c>
      <c r="K40" s="6"/>
      <c r="L40" s="6"/>
      <c r="M40" s="6">
        <v>74400</v>
      </c>
      <c r="N40" s="6"/>
      <c r="O40" s="6"/>
      <c r="P40" s="6"/>
      <c r="Q40" s="7"/>
      <c r="R40" s="7"/>
      <c r="S40" s="7"/>
      <c r="T40" s="23"/>
      <c r="U40" s="7"/>
      <c r="V40" s="7">
        <v>36127.86</v>
      </c>
      <c r="X40" s="9"/>
      <c r="Y40" s="9"/>
      <c r="Z40" s="9">
        <v>73200</v>
      </c>
      <c r="AB40" s="8"/>
      <c r="AC40" s="8"/>
      <c r="AD40" s="8"/>
      <c r="AE40" s="1"/>
      <c r="AF40" s="1"/>
      <c r="AG40" s="1"/>
    </row>
    <row r="41" spans="1:33" x14ac:dyDescent="0.35">
      <c r="A41" s="2" t="s">
        <v>4</v>
      </c>
      <c r="B41" s="2" t="s">
        <v>89</v>
      </c>
      <c r="D41" s="2" t="s">
        <v>94</v>
      </c>
      <c r="E41" t="s">
        <v>95</v>
      </c>
      <c r="F41" s="4">
        <v>62000</v>
      </c>
      <c r="G41" s="101">
        <f t="shared" si="0"/>
        <v>62000</v>
      </c>
      <c r="H41" s="5"/>
      <c r="I41" s="5"/>
      <c r="J41" s="5">
        <v>62000</v>
      </c>
      <c r="K41" s="6"/>
      <c r="L41" s="6"/>
      <c r="M41" s="6"/>
      <c r="N41" s="6"/>
      <c r="O41" s="6"/>
      <c r="P41" s="6">
        <v>62000</v>
      </c>
      <c r="Q41" s="7"/>
      <c r="R41" s="7"/>
      <c r="S41" s="7"/>
      <c r="T41" s="23"/>
      <c r="U41" s="7"/>
      <c r="V41" s="7"/>
      <c r="X41" s="9"/>
      <c r="Y41" s="9"/>
      <c r="Z41" s="9">
        <v>61000</v>
      </c>
      <c r="AB41" s="8"/>
      <c r="AC41" s="8"/>
      <c r="AD41" s="8"/>
      <c r="AE41" s="1"/>
      <c r="AF41" s="1"/>
      <c r="AG41" s="1"/>
    </row>
    <row r="42" spans="1:33" x14ac:dyDescent="0.35">
      <c r="A42" s="2" t="s">
        <v>4</v>
      </c>
      <c r="B42" s="2" t="s">
        <v>89</v>
      </c>
      <c r="D42" s="2" t="s">
        <v>98</v>
      </c>
      <c r="E42" t="s">
        <v>99</v>
      </c>
      <c r="F42" s="4">
        <v>120000</v>
      </c>
      <c r="G42" s="101">
        <f t="shared" si="0"/>
        <v>120000</v>
      </c>
      <c r="H42" s="5"/>
      <c r="I42" s="5">
        <v>120000</v>
      </c>
      <c r="J42" s="5"/>
      <c r="K42" s="6"/>
      <c r="L42" s="6">
        <v>120000</v>
      </c>
      <c r="M42" s="6"/>
      <c r="N42" s="6"/>
      <c r="O42" s="6"/>
      <c r="P42" s="6"/>
      <c r="Q42" s="7"/>
      <c r="R42" s="7"/>
      <c r="S42" s="7"/>
      <c r="T42" s="23"/>
      <c r="U42" s="7"/>
      <c r="V42" s="7"/>
      <c r="X42" s="9"/>
      <c r="Y42" s="9"/>
      <c r="Z42" s="9"/>
      <c r="AB42" s="8"/>
      <c r="AC42" s="8"/>
      <c r="AD42" s="8"/>
      <c r="AE42" s="1"/>
      <c r="AF42" s="1"/>
      <c r="AG42" s="1"/>
    </row>
    <row r="43" spans="1:33" x14ac:dyDescent="0.35">
      <c r="A43" s="2" t="s">
        <v>4</v>
      </c>
      <c r="B43" s="2" t="s">
        <v>89</v>
      </c>
      <c r="D43" s="2" t="s">
        <v>100</v>
      </c>
      <c r="E43" t="s">
        <v>101</v>
      </c>
      <c r="F43" s="4">
        <v>62000</v>
      </c>
      <c r="G43" s="101">
        <f t="shared" si="0"/>
        <v>62000</v>
      </c>
      <c r="H43" s="5">
        <v>62000</v>
      </c>
      <c r="I43" s="5"/>
      <c r="J43" s="5"/>
      <c r="K43" s="6">
        <v>62000</v>
      </c>
      <c r="L43" s="6"/>
      <c r="M43" s="6"/>
      <c r="N43" s="6"/>
      <c r="O43" s="6"/>
      <c r="P43" s="6"/>
      <c r="Q43" s="7"/>
      <c r="R43" s="7"/>
      <c r="S43" s="7"/>
      <c r="T43" s="23"/>
      <c r="U43" s="7"/>
      <c r="V43" s="7"/>
      <c r="X43" s="9"/>
      <c r="Y43" s="9"/>
      <c r="Z43" s="9"/>
      <c r="AB43" s="8"/>
      <c r="AC43" s="8"/>
      <c r="AD43" s="8"/>
      <c r="AE43" s="1"/>
      <c r="AF43" s="1"/>
      <c r="AG43" s="1"/>
    </row>
    <row r="44" spans="1:33" x14ac:dyDescent="0.35">
      <c r="A44" s="2" t="s">
        <v>4</v>
      </c>
      <c r="B44" s="2" t="s">
        <v>89</v>
      </c>
      <c r="C44" t="s">
        <v>27</v>
      </c>
      <c r="D44" s="2" t="s">
        <v>354</v>
      </c>
      <c r="E44" t="s">
        <v>102</v>
      </c>
      <c r="F44" s="4">
        <v>1240000</v>
      </c>
      <c r="G44" s="101">
        <f t="shared" si="0"/>
        <v>1240000</v>
      </c>
      <c r="H44" s="5">
        <v>1240000</v>
      </c>
      <c r="I44" s="5"/>
      <c r="J44" s="5"/>
      <c r="K44" s="6">
        <v>1240000</v>
      </c>
      <c r="L44" s="6"/>
      <c r="M44" s="6"/>
      <c r="N44" s="6"/>
      <c r="O44" s="6"/>
      <c r="P44" s="6"/>
      <c r="Q44" s="7"/>
      <c r="R44" s="7"/>
      <c r="S44" s="7"/>
      <c r="T44" s="23"/>
      <c r="U44" s="7"/>
      <c r="V44" s="7"/>
      <c r="X44" s="9"/>
      <c r="Y44" s="9"/>
      <c r="Z44" s="9"/>
      <c r="AB44" s="8"/>
      <c r="AC44" s="8"/>
      <c r="AD44" s="8"/>
      <c r="AE44" s="1"/>
      <c r="AF44" s="1"/>
      <c r="AG44" s="1"/>
    </row>
    <row r="45" spans="1:33" x14ac:dyDescent="0.35">
      <c r="A45" s="3" t="s">
        <v>4</v>
      </c>
      <c r="B45" s="2" t="s">
        <v>89</v>
      </c>
      <c r="C45" t="s">
        <v>27</v>
      </c>
      <c r="D45" s="2" t="s">
        <v>103</v>
      </c>
      <c r="E45" t="s">
        <v>104</v>
      </c>
      <c r="F45" s="4">
        <v>248000</v>
      </c>
      <c r="G45" s="101">
        <f t="shared" si="0"/>
        <v>248000</v>
      </c>
      <c r="H45" s="5"/>
      <c r="I45" s="5"/>
      <c r="J45" s="5">
        <v>248000</v>
      </c>
      <c r="K45" s="6"/>
      <c r="L45" s="6"/>
      <c r="M45" s="6">
        <v>248000</v>
      </c>
      <c r="N45" s="6"/>
      <c r="O45" s="6"/>
      <c r="P45" s="6"/>
      <c r="Q45" s="7"/>
      <c r="R45" s="7"/>
      <c r="S45" s="7"/>
      <c r="T45" s="23"/>
      <c r="U45" s="7"/>
      <c r="V45" s="7"/>
      <c r="X45" s="9"/>
      <c r="Y45" s="9"/>
      <c r="Z45" s="9"/>
      <c r="AB45" s="8"/>
      <c r="AC45" s="8"/>
      <c r="AD45" s="8"/>
      <c r="AE45" s="1"/>
      <c r="AF45" s="1"/>
      <c r="AG45" s="1"/>
    </row>
    <row r="46" spans="1:33" x14ac:dyDescent="0.35">
      <c r="A46" s="103" t="s">
        <v>4</v>
      </c>
      <c r="B46" s="103" t="s">
        <v>89</v>
      </c>
      <c r="C46" s="103"/>
      <c r="D46" s="103" t="s">
        <v>390</v>
      </c>
      <c r="E46" t="s">
        <v>121</v>
      </c>
      <c r="F46" s="4">
        <v>52737.120000000003</v>
      </c>
      <c r="G46" s="101"/>
      <c r="H46" s="5"/>
      <c r="I46" s="5"/>
      <c r="J46" s="5"/>
      <c r="K46" s="6"/>
      <c r="L46" s="6"/>
      <c r="M46" s="6"/>
      <c r="N46" s="6"/>
      <c r="O46" s="6"/>
      <c r="P46" s="6"/>
      <c r="Q46" s="7"/>
      <c r="R46" s="7"/>
      <c r="S46" s="7">
        <v>52737.120000000003</v>
      </c>
      <c r="T46" s="23"/>
      <c r="U46" s="7"/>
      <c r="V46" s="7"/>
      <c r="X46" s="9"/>
      <c r="Y46" s="9"/>
      <c r="Z46" s="9"/>
      <c r="AB46" s="8"/>
      <c r="AC46" s="8"/>
      <c r="AD46" s="8">
        <v>96000</v>
      </c>
      <c r="AE46" s="1"/>
      <c r="AF46" s="1"/>
      <c r="AG46" s="1"/>
    </row>
    <row r="47" spans="1:33" x14ac:dyDescent="0.35">
      <c r="A47" s="103" t="s">
        <v>4</v>
      </c>
      <c r="B47" s="103" t="s">
        <v>5</v>
      </c>
      <c r="C47" s="103"/>
      <c r="D47" s="103" t="s">
        <v>391</v>
      </c>
      <c r="E47" t="s">
        <v>295</v>
      </c>
      <c r="F47" s="4">
        <v>710.79</v>
      </c>
      <c r="G47" s="101"/>
      <c r="H47" s="5"/>
      <c r="I47" s="5"/>
      <c r="J47" s="5"/>
      <c r="K47" s="6"/>
      <c r="L47" s="6"/>
      <c r="M47" s="6"/>
      <c r="N47" s="6"/>
      <c r="O47" s="6"/>
      <c r="P47" s="6"/>
      <c r="Q47" s="7"/>
      <c r="R47" s="7"/>
      <c r="S47" s="7">
        <v>710.79</v>
      </c>
      <c r="T47" s="23"/>
      <c r="U47" s="7"/>
      <c r="V47" s="7"/>
      <c r="X47" s="9"/>
      <c r="Y47" s="9"/>
      <c r="Z47" s="9"/>
      <c r="AB47" s="8"/>
      <c r="AC47" s="8"/>
      <c r="AD47" s="8">
        <v>186000</v>
      </c>
      <c r="AE47" s="1"/>
      <c r="AF47" s="1"/>
      <c r="AG47" s="1"/>
    </row>
    <row r="48" spans="1:33" x14ac:dyDescent="0.35">
      <c r="A48" s="2" t="s">
        <v>27</v>
      </c>
      <c r="B48" s="2" t="s">
        <v>112</v>
      </c>
      <c r="D48" s="2" t="s">
        <v>113</v>
      </c>
      <c r="E48" t="s">
        <v>377</v>
      </c>
      <c r="F48" s="4">
        <v>294617.8</v>
      </c>
      <c r="G48" s="101"/>
      <c r="H48" s="5"/>
      <c r="I48" s="5"/>
      <c r="J48" s="5"/>
      <c r="K48" s="6"/>
      <c r="L48" s="6"/>
      <c r="M48" s="6"/>
      <c r="N48" s="6"/>
      <c r="O48" s="6"/>
      <c r="P48" s="6"/>
      <c r="Q48" s="7"/>
      <c r="R48" s="7"/>
      <c r="S48" s="7"/>
      <c r="T48" s="23">
        <v>294617.8</v>
      </c>
      <c r="U48" s="7"/>
      <c r="V48" s="7"/>
      <c r="X48" s="9">
        <v>294617.8</v>
      </c>
      <c r="Y48" s="9"/>
      <c r="Z48" s="9"/>
      <c r="AB48" s="8">
        <v>216801.59999999998</v>
      </c>
      <c r="AC48" s="8"/>
      <c r="AD48" s="8"/>
      <c r="AE48" s="1"/>
      <c r="AF48" s="1"/>
      <c r="AG48" s="1"/>
    </row>
    <row r="49" spans="1:33" x14ac:dyDescent="0.35">
      <c r="A49" s="2" t="s">
        <v>27</v>
      </c>
      <c r="B49" s="2" t="s">
        <v>112</v>
      </c>
      <c r="D49" s="2" t="s">
        <v>375</v>
      </c>
      <c r="E49" t="s">
        <v>378</v>
      </c>
      <c r="F49" s="4">
        <f>349989.705-8537</f>
        <v>341452.70500000002</v>
      </c>
      <c r="G49" s="101">
        <f>H49</f>
        <v>8537.0200000000186</v>
      </c>
      <c r="H49" s="5">
        <f>K49</f>
        <v>8537.0200000000186</v>
      </c>
      <c r="I49" s="5"/>
      <c r="J49" s="5"/>
      <c r="K49" s="6">
        <v>8537.0200000000186</v>
      </c>
      <c r="L49" s="6"/>
      <c r="M49" s="6"/>
      <c r="N49" s="6"/>
      <c r="O49" s="6"/>
      <c r="P49" s="6"/>
      <c r="Q49" s="7"/>
      <c r="R49" s="7"/>
      <c r="S49" s="7"/>
      <c r="T49" s="23">
        <v>341452.685</v>
      </c>
      <c r="U49" s="7"/>
      <c r="V49" s="7"/>
      <c r="X49" s="9">
        <v>341452.38</v>
      </c>
      <c r="Y49" s="9"/>
      <c r="Z49" s="9"/>
      <c r="AB49" s="8">
        <v>251265.59999999998</v>
      </c>
      <c r="AC49" s="8"/>
      <c r="AD49" s="8"/>
      <c r="AE49" s="1"/>
      <c r="AF49" s="1"/>
      <c r="AG49" s="1"/>
    </row>
    <row r="50" spans="1:33" x14ac:dyDescent="0.35">
      <c r="A50" s="2" t="s">
        <v>27</v>
      </c>
      <c r="B50" s="2" t="s">
        <v>112</v>
      </c>
      <c r="D50" s="2" t="s">
        <v>113</v>
      </c>
      <c r="E50" t="s">
        <v>311</v>
      </c>
      <c r="F50" s="4">
        <v>119622.22</v>
      </c>
      <c r="G50" s="101"/>
      <c r="H50" s="5"/>
      <c r="I50" s="5"/>
      <c r="J50" s="5"/>
      <c r="K50" s="6"/>
      <c r="L50" s="6"/>
      <c r="M50" s="6"/>
      <c r="N50" s="6"/>
      <c r="O50" s="6"/>
      <c r="P50" s="6"/>
      <c r="Q50" s="7">
        <v>119622.22</v>
      </c>
      <c r="R50" s="7"/>
      <c r="S50" s="7"/>
      <c r="T50" s="23"/>
      <c r="U50" s="7"/>
      <c r="V50" s="7"/>
      <c r="X50" s="9">
        <v>422418.89999999991</v>
      </c>
      <c r="Y50" s="9"/>
      <c r="Z50" s="9"/>
      <c r="AB50" s="8">
        <v>310846.8</v>
      </c>
      <c r="AC50" s="8"/>
      <c r="AD50" s="8"/>
      <c r="AE50" s="1"/>
      <c r="AF50" s="1"/>
      <c r="AG50" s="1"/>
    </row>
    <row r="51" spans="1:33" x14ac:dyDescent="0.35">
      <c r="A51" s="2" t="s">
        <v>27</v>
      </c>
      <c r="B51" s="2" t="s">
        <v>112</v>
      </c>
      <c r="D51" s="105" t="s">
        <v>477</v>
      </c>
      <c r="E51" s="106" t="s">
        <v>311</v>
      </c>
      <c r="F51" s="4">
        <v>1360710.98</v>
      </c>
      <c r="G51" s="101">
        <v>781200</v>
      </c>
      <c r="H51" s="5">
        <f>K51</f>
        <v>719200</v>
      </c>
      <c r="I51" s="5"/>
      <c r="J51" s="5">
        <f>M51</f>
        <v>62000</v>
      </c>
      <c r="K51" s="6">
        <v>719200</v>
      </c>
      <c r="L51" s="6"/>
      <c r="M51" s="6">
        <v>62000</v>
      </c>
      <c r="N51" s="6"/>
      <c r="O51" s="6"/>
      <c r="P51" s="6"/>
      <c r="Q51" s="7"/>
      <c r="R51" s="7"/>
      <c r="S51" s="7"/>
      <c r="T51" s="23">
        <v>579510.98</v>
      </c>
      <c r="U51" s="7"/>
      <c r="V51" s="7"/>
      <c r="X51" s="9">
        <v>164549.94</v>
      </c>
      <c r="Y51" s="9"/>
      <c r="Z51" s="9"/>
      <c r="AB51" s="8">
        <v>121087.2</v>
      </c>
      <c r="AC51" s="8"/>
      <c r="AD51" s="8"/>
      <c r="AE51" s="1"/>
      <c r="AF51" s="1"/>
      <c r="AG51" s="1"/>
    </row>
    <row r="52" spans="1:33" x14ac:dyDescent="0.35">
      <c r="A52" s="2" t="s">
        <v>27</v>
      </c>
      <c r="B52" s="2" t="s">
        <v>112</v>
      </c>
      <c r="D52" s="2" t="s">
        <v>114</v>
      </c>
      <c r="E52" t="s">
        <v>115</v>
      </c>
      <c r="F52" s="4">
        <v>248000</v>
      </c>
      <c r="G52" s="101">
        <f t="shared" si="0"/>
        <v>248000</v>
      </c>
      <c r="H52" s="5">
        <v>248000</v>
      </c>
      <c r="I52" s="5"/>
      <c r="J52" s="5"/>
      <c r="K52" s="6"/>
      <c r="L52" s="6"/>
      <c r="M52" s="6"/>
      <c r="N52" s="6">
        <v>248000</v>
      </c>
      <c r="O52" s="6"/>
      <c r="P52" s="6"/>
      <c r="Q52" s="7"/>
      <c r="R52" s="7"/>
      <c r="S52" s="7"/>
      <c r="T52" s="23"/>
      <c r="U52" s="7"/>
      <c r="V52" s="7"/>
      <c r="X52" s="9">
        <v>244000</v>
      </c>
      <c r="Y52" s="9"/>
      <c r="Z52" s="9"/>
      <c r="AB52" s="8"/>
      <c r="AC52" s="8"/>
      <c r="AD52" s="8"/>
      <c r="AE52" s="1"/>
      <c r="AF52" s="1"/>
      <c r="AG52" s="1"/>
    </row>
    <row r="53" spans="1:33" x14ac:dyDescent="0.35">
      <c r="A53" s="2" t="s">
        <v>27</v>
      </c>
      <c r="B53" s="2" t="s">
        <v>112</v>
      </c>
      <c r="D53" s="2" t="s">
        <v>116</v>
      </c>
      <c r="E53" t="s">
        <v>117</v>
      </c>
      <c r="F53" s="4">
        <v>100023</v>
      </c>
      <c r="G53" s="101">
        <f t="shared" si="0"/>
        <v>65569</v>
      </c>
      <c r="H53" s="5"/>
      <c r="I53" s="5">
        <v>65569</v>
      </c>
      <c r="J53" s="5"/>
      <c r="K53" s="6"/>
      <c r="L53" s="6">
        <v>50023</v>
      </c>
      <c r="M53" s="6"/>
      <c r="N53" s="6"/>
      <c r="O53" s="6">
        <v>15546</v>
      </c>
      <c r="P53" s="6"/>
      <c r="Q53" s="7"/>
      <c r="R53" s="7"/>
      <c r="S53" s="7"/>
      <c r="T53" s="23"/>
      <c r="U53" s="7">
        <v>34454</v>
      </c>
      <c r="V53" s="7"/>
      <c r="X53" s="9"/>
      <c r="Y53" s="9">
        <v>50000</v>
      </c>
      <c r="Z53" s="9"/>
      <c r="AB53" s="8"/>
      <c r="AC53" s="8">
        <v>54189</v>
      </c>
      <c r="AD53" s="8"/>
      <c r="AE53" s="1"/>
      <c r="AF53" s="1"/>
      <c r="AG53" s="1"/>
    </row>
    <row r="54" spans="1:33" x14ac:dyDescent="0.35">
      <c r="A54" s="2" t="s">
        <v>27</v>
      </c>
      <c r="B54" s="2" t="s">
        <v>112</v>
      </c>
      <c r="D54" s="2" t="s">
        <v>118</v>
      </c>
      <c r="E54" t="s">
        <v>119</v>
      </c>
      <c r="F54" s="4">
        <v>81398</v>
      </c>
      <c r="G54" s="101">
        <f t="shared" si="0"/>
        <v>60000</v>
      </c>
      <c r="H54" s="5"/>
      <c r="I54" s="5">
        <v>60000</v>
      </c>
      <c r="J54" s="5"/>
      <c r="K54" s="6"/>
      <c r="L54" s="6">
        <v>21398</v>
      </c>
      <c r="M54" s="6"/>
      <c r="N54" s="6"/>
      <c r="O54" s="6">
        <v>38602</v>
      </c>
      <c r="P54" s="6"/>
      <c r="Q54" s="7"/>
      <c r="R54" s="7"/>
      <c r="S54" s="7"/>
      <c r="T54" s="23"/>
      <c r="U54" s="7">
        <v>21398</v>
      </c>
      <c r="V54" s="7"/>
      <c r="X54" s="9"/>
      <c r="Y54" s="9">
        <v>60000</v>
      </c>
      <c r="Z54" s="9"/>
      <c r="AB54" s="8"/>
      <c r="AC54" s="8">
        <v>45158</v>
      </c>
      <c r="AD54" s="8"/>
      <c r="AE54" s="1"/>
      <c r="AF54" s="1"/>
      <c r="AG54" s="1"/>
    </row>
    <row r="55" spans="1:33" x14ac:dyDescent="0.35">
      <c r="A55" s="2" t="s">
        <v>27</v>
      </c>
      <c r="B55" s="2" t="s">
        <v>112</v>
      </c>
      <c r="D55" s="2" t="s">
        <v>120</v>
      </c>
      <c r="E55" t="s">
        <v>121</v>
      </c>
      <c r="F55" s="4">
        <v>422904.48</v>
      </c>
      <c r="G55" s="101">
        <f t="shared" si="0"/>
        <v>422904.48</v>
      </c>
      <c r="H55" s="5">
        <v>323704.48</v>
      </c>
      <c r="I55" s="5"/>
      <c r="J55" s="5">
        <v>99200</v>
      </c>
      <c r="K55" s="6"/>
      <c r="L55" s="6"/>
      <c r="M55" s="6"/>
      <c r="N55" s="6">
        <v>323704.48</v>
      </c>
      <c r="O55" s="6"/>
      <c r="P55" s="6">
        <v>99200</v>
      </c>
      <c r="Q55" s="7"/>
      <c r="R55" s="7"/>
      <c r="S55" s="7"/>
      <c r="T55" s="23"/>
      <c r="U55" s="7"/>
      <c r="V55" s="7"/>
      <c r="X55" s="9">
        <v>318483.44</v>
      </c>
      <c r="Y55" s="9"/>
      <c r="Z55" s="9">
        <v>97600</v>
      </c>
      <c r="AB55" s="8"/>
      <c r="AC55" s="8"/>
      <c r="AD55" s="8"/>
      <c r="AE55" s="1"/>
      <c r="AF55" s="1"/>
      <c r="AG55" s="1"/>
    </row>
    <row r="56" spans="1:33" x14ac:dyDescent="0.35">
      <c r="A56" s="2" t="s">
        <v>27</v>
      </c>
      <c r="B56" s="2" t="s">
        <v>122</v>
      </c>
      <c r="D56" s="2" t="s">
        <v>125</v>
      </c>
      <c r="E56" t="s">
        <v>126</v>
      </c>
      <c r="F56" s="4">
        <v>519544.58</v>
      </c>
      <c r="G56" s="101">
        <f t="shared" si="0"/>
        <v>148800</v>
      </c>
      <c r="H56" s="5">
        <v>86800</v>
      </c>
      <c r="I56" s="5"/>
      <c r="J56" s="5">
        <v>62000</v>
      </c>
      <c r="K56" s="6">
        <v>11022.36</v>
      </c>
      <c r="L56" s="6"/>
      <c r="M56" s="6">
        <v>62000</v>
      </c>
      <c r="N56" s="6">
        <v>75777.64</v>
      </c>
      <c r="O56" s="6"/>
      <c r="P56" s="6"/>
      <c r="Q56" s="7"/>
      <c r="R56" s="7"/>
      <c r="S56" s="7"/>
      <c r="T56" s="23">
        <v>370744.58</v>
      </c>
      <c r="U56" s="7"/>
      <c r="V56" s="7"/>
      <c r="X56" s="9">
        <v>445300</v>
      </c>
      <c r="Y56" s="9"/>
      <c r="Z56" s="9"/>
      <c r="AB56" s="8">
        <v>162000</v>
      </c>
      <c r="AC56" s="8"/>
      <c r="AD56" s="8"/>
      <c r="AE56" s="1"/>
      <c r="AF56" s="1"/>
      <c r="AG56" s="1"/>
    </row>
    <row r="57" spans="1:33" x14ac:dyDescent="0.35">
      <c r="A57" s="2" t="s">
        <v>27</v>
      </c>
      <c r="B57" s="2" t="s">
        <v>122</v>
      </c>
      <c r="D57" s="2" t="s">
        <v>127</v>
      </c>
      <c r="E57" t="s">
        <v>128</v>
      </c>
      <c r="F57" s="4">
        <v>463885.58</v>
      </c>
      <c r="G57" s="101">
        <f t="shared" si="0"/>
        <v>108473.96</v>
      </c>
      <c r="H57" s="5">
        <v>108473.96</v>
      </c>
      <c r="I57" s="5"/>
      <c r="J57" s="5"/>
      <c r="K57" s="6"/>
      <c r="L57" s="6"/>
      <c r="M57" s="6"/>
      <c r="N57" s="6">
        <v>108473.96</v>
      </c>
      <c r="O57" s="6"/>
      <c r="P57" s="6"/>
      <c r="Q57" s="7"/>
      <c r="R57" s="7"/>
      <c r="S57" s="7"/>
      <c r="T57" s="23">
        <v>355411.62</v>
      </c>
      <c r="U57" s="7"/>
      <c r="V57" s="7"/>
      <c r="X57" s="9">
        <v>462136</v>
      </c>
      <c r="Y57" s="9"/>
      <c r="Z57" s="9"/>
      <c r="AB57" s="8">
        <v>190080</v>
      </c>
      <c r="AC57" s="8"/>
      <c r="AD57" s="8"/>
      <c r="AE57" s="1"/>
      <c r="AF57" s="1"/>
      <c r="AG57" s="1"/>
    </row>
    <row r="58" spans="1:33" x14ac:dyDescent="0.35">
      <c r="A58" s="2" t="s">
        <v>27</v>
      </c>
      <c r="B58" s="2" t="s">
        <v>122</v>
      </c>
      <c r="D58" s="2" t="s">
        <v>368</v>
      </c>
      <c r="E58" t="s">
        <v>129</v>
      </c>
      <c r="F58" s="4">
        <v>617365.52</v>
      </c>
      <c r="G58" s="101">
        <f t="shared" si="0"/>
        <v>267562.23999999999</v>
      </c>
      <c r="H58" s="5">
        <v>267562.23999999999</v>
      </c>
      <c r="I58" s="5"/>
      <c r="J58" s="5"/>
      <c r="K58" s="6">
        <v>62000</v>
      </c>
      <c r="L58" s="6"/>
      <c r="M58" s="6"/>
      <c r="N58" s="6">
        <v>205562.23999999999</v>
      </c>
      <c r="O58" s="6"/>
      <c r="P58" s="6"/>
      <c r="Q58" s="7"/>
      <c r="R58" s="7"/>
      <c r="S58" s="7"/>
      <c r="T58" s="23">
        <v>349803.27999999997</v>
      </c>
      <c r="U58" s="7"/>
      <c r="V58" s="7"/>
      <c r="X58" s="9">
        <v>552050</v>
      </c>
      <c r="Y58" s="9"/>
      <c r="Z58" s="9"/>
      <c r="AB58" s="8">
        <v>105000</v>
      </c>
      <c r="AC58" s="8"/>
      <c r="AD58" s="8"/>
      <c r="AE58" s="1"/>
      <c r="AF58" s="1"/>
      <c r="AG58" s="1"/>
    </row>
    <row r="59" spans="1:33" x14ac:dyDescent="0.35">
      <c r="A59" s="2" t="s">
        <v>27</v>
      </c>
      <c r="B59" s="2" t="s">
        <v>122</v>
      </c>
      <c r="D59" s="2" t="s">
        <v>367</v>
      </c>
      <c r="E59" t="s">
        <v>130</v>
      </c>
      <c r="F59" s="4">
        <f>112545.36-3773</f>
        <v>108772.36</v>
      </c>
      <c r="G59" s="101">
        <f>H59+I59+J59</f>
        <v>58773</v>
      </c>
      <c r="H59" s="5"/>
      <c r="I59" s="5">
        <f>L59</f>
        <v>58773</v>
      </c>
      <c r="J59" s="5"/>
      <c r="K59" s="6"/>
      <c r="L59" s="6">
        <f>55000+3773</f>
        <v>58773</v>
      </c>
      <c r="M59" s="6"/>
      <c r="N59" s="6"/>
      <c r="O59" s="6"/>
      <c r="P59" s="6"/>
      <c r="Q59" s="7"/>
      <c r="R59" s="7"/>
      <c r="S59" s="7"/>
      <c r="T59" s="23"/>
      <c r="U59" s="7">
        <f>50000+3772.36</f>
        <v>53772.36</v>
      </c>
      <c r="V59" s="7"/>
      <c r="X59" s="9"/>
      <c r="Y59" s="9">
        <v>50000</v>
      </c>
      <c r="Z59" s="9"/>
      <c r="AB59" s="8"/>
      <c r="AC59" s="8">
        <v>52300</v>
      </c>
      <c r="AD59" s="8"/>
      <c r="AE59" s="1"/>
      <c r="AF59" s="1"/>
      <c r="AG59" s="1"/>
    </row>
    <row r="60" spans="1:33" x14ac:dyDescent="0.35">
      <c r="A60" s="2" t="s">
        <v>27</v>
      </c>
      <c r="B60" s="2" t="s">
        <v>122</v>
      </c>
      <c r="D60" s="2" t="s">
        <v>131</v>
      </c>
      <c r="E60" t="s">
        <v>132</v>
      </c>
      <c r="F60" s="4">
        <v>372000</v>
      </c>
      <c r="G60" s="101">
        <f t="shared" si="0"/>
        <v>372000</v>
      </c>
      <c r="H60" s="5">
        <v>372000</v>
      </c>
      <c r="I60" s="5"/>
      <c r="J60" s="5"/>
      <c r="K60" s="6"/>
      <c r="L60" s="6"/>
      <c r="M60" s="6"/>
      <c r="N60" s="6">
        <v>372000</v>
      </c>
      <c r="O60" s="6"/>
      <c r="P60" s="6"/>
      <c r="Q60" s="7"/>
      <c r="R60" s="7"/>
      <c r="S60" s="7"/>
      <c r="T60" s="23"/>
      <c r="U60" s="7"/>
      <c r="V60" s="7"/>
      <c r="X60" s="9">
        <v>610000</v>
      </c>
      <c r="Y60" s="9"/>
      <c r="Z60" s="9"/>
      <c r="AB60" s="8"/>
      <c r="AC60" s="8"/>
      <c r="AD60" s="8"/>
      <c r="AE60" s="1"/>
      <c r="AF60" s="1"/>
      <c r="AG60" s="1"/>
    </row>
    <row r="61" spans="1:33" x14ac:dyDescent="0.35">
      <c r="A61" s="2" t="s">
        <v>27</v>
      </c>
      <c r="B61" s="2" t="s">
        <v>122</v>
      </c>
      <c r="D61" s="2" t="s">
        <v>317</v>
      </c>
      <c r="E61" t="s">
        <v>133</v>
      </c>
      <c r="F61" s="4">
        <f>992543.74-496272</f>
        <v>496271.74</v>
      </c>
      <c r="G61" s="101">
        <f t="shared" si="0"/>
        <v>496271.74</v>
      </c>
      <c r="H61" s="5"/>
      <c r="I61" s="5"/>
      <c r="J61" s="5">
        <f>M61+P61</f>
        <v>496271.74</v>
      </c>
      <c r="K61" s="6"/>
      <c r="L61" s="6"/>
      <c r="M61" s="6">
        <f>50934-996</f>
        <v>49938</v>
      </c>
      <c r="N61" s="6"/>
      <c r="O61" s="6"/>
      <c r="P61" s="6">
        <v>446333.74</v>
      </c>
      <c r="Q61" s="7">
        <v>119731.2</v>
      </c>
      <c r="R61" s="7"/>
      <c r="S61" s="7"/>
      <c r="T61" s="23">
        <v>-121726.72</v>
      </c>
      <c r="U61" s="7"/>
      <c r="V61" s="7">
        <v>498267.52</v>
      </c>
      <c r="X61" s="9">
        <v>386333.74</v>
      </c>
      <c r="Y61" s="9"/>
      <c r="Z61" s="9"/>
      <c r="AB61" s="8">
        <v>60000</v>
      </c>
      <c r="AC61" s="8"/>
      <c r="AD61" s="8"/>
      <c r="AE61" s="1"/>
      <c r="AF61" s="1"/>
      <c r="AG61" s="1"/>
    </row>
    <row r="62" spans="1:33" x14ac:dyDescent="0.35">
      <c r="A62" s="2" t="s">
        <v>27</v>
      </c>
      <c r="B62" s="2" t="s">
        <v>122</v>
      </c>
      <c r="D62" s="2" t="s">
        <v>138</v>
      </c>
      <c r="E62" t="s">
        <v>139</v>
      </c>
      <c r="F62" s="4">
        <v>197853.41999999998</v>
      </c>
      <c r="G62" s="101">
        <f t="shared" si="0"/>
        <v>88040</v>
      </c>
      <c r="H62" s="5"/>
      <c r="I62" s="5"/>
      <c r="J62" s="5">
        <v>88040</v>
      </c>
      <c r="K62" s="6"/>
      <c r="L62" s="6"/>
      <c r="M62" s="6"/>
      <c r="N62" s="6"/>
      <c r="O62" s="6"/>
      <c r="P62" s="6">
        <v>88040</v>
      </c>
      <c r="Q62" s="7"/>
      <c r="R62" s="7"/>
      <c r="S62" s="7"/>
      <c r="T62" s="23"/>
      <c r="U62" s="7"/>
      <c r="V62" s="7">
        <v>109813.42</v>
      </c>
      <c r="X62" s="9"/>
      <c r="Y62" s="9"/>
      <c r="Z62" s="9">
        <v>202520</v>
      </c>
      <c r="AB62" s="8"/>
      <c r="AC62" s="8"/>
      <c r="AD62" s="8"/>
      <c r="AE62" s="1"/>
      <c r="AF62" s="1"/>
      <c r="AG62" s="1"/>
    </row>
    <row r="63" spans="1:33" x14ac:dyDescent="0.35">
      <c r="A63" s="2" t="s">
        <v>27</v>
      </c>
      <c r="B63" s="2" t="s">
        <v>122</v>
      </c>
      <c r="D63" s="2" t="s">
        <v>140</v>
      </c>
      <c r="E63" t="s">
        <v>141</v>
      </c>
      <c r="F63" s="4">
        <v>93000</v>
      </c>
      <c r="G63" s="101">
        <f t="shared" si="0"/>
        <v>93000</v>
      </c>
      <c r="H63" s="5"/>
      <c r="I63" s="5"/>
      <c r="J63" s="5">
        <v>93000</v>
      </c>
      <c r="K63" s="6"/>
      <c r="L63" s="6"/>
      <c r="M63" s="6">
        <v>93000</v>
      </c>
      <c r="N63" s="6"/>
      <c r="O63" s="6"/>
      <c r="P63" s="6"/>
      <c r="Q63" s="7"/>
      <c r="R63" s="7"/>
      <c r="S63" s="7"/>
      <c r="T63" s="23"/>
      <c r="U63" s="7"/>
      <c r="V63" s="7"/>
      <c r="X63" s="9"/>
      <c r="Y63" s="9"/>
      <c r="Z63" s="9"/>
      <c r="AB63" s="8"/>
      <c r="AC63" s="8"/>
      <c r="AD63" s="8"/>
      <c r="AE63" s="1"/>
      <c r="AF63" s="1"/>
      <c r="AG63" s="1"/>
    </row>
    <row r="64" spans="1:33" x14ac:dyDescent="0.35">
      <c r="A64" s="2" t="s">
        <v>27</v>
      </c>
      <c r="B64" s="2" t="s">
        <v>122</v>
      </c>
      <c r="D64" s="2" t="s">
        <v>142</v>
      </c>
      <c r="E64" t="s">
        <v>143</v>
      </c>
      <c r="F64" s="4">
        <v>326600</v>
      </c>
      <c r="G64" s="101">
        <f t="shared" si="0"/>
        <v>326600</v>
      </c>
      <c r="H64" s="5"/>
      <c r="I64" s="5">
        <v>215000</v>
      </c>
      <c r="J64" s="5">
        <v>111600</v>
      </c>
      <c r="K64" s="6"/>
      <c r="L64" s="6">
        <v>215000</v>
      </c>
      <c r="M64" s="6">
        <v>111600</v>
      </c>
      <c r="N64" s="6"/>
      <c r="O64" s="6"/>
      <c r="P64" s="6"/>
      <c r="Q64" s="7"/>
      <c r="R64" s="7"/>
      <c r="S64" s="7"/>
      <c r="T64" s="23"/>
      <c r="U64" s="7"/>
      <c r="V64" s="7"/>
      <c r="X64" s="9"/>
      <c r="Y64" s="9"/>
      <c r="Z64" s="9"/>
      <c r="AB64" s="8"/>
      <c r="AC64" s="8"/>
      <c r="AD64" s="8"/>
      <c r="AE64" s="1"/>
      <c r="AF64" s="1"/>
      <c r="AG64" s="1"/>
    </row>
    <row r="65" spans="1:33" x14ac:dyDescent="0.35">
      <c r="A65" s="2" t="s">
        <v>27</v>
      </c>
      <c r="B65" s="2" t="s">
        <v>122</v>
      </c>
      <c r="D65" s="2" t="s">
        <v>144</v>
      </c>
      <c r="E65" t="s">
        <v>145</v>
      </c>
      <c r="F65" s="4">
        <v>62000</v>
      </c>
      <c r="G65" s="101">
        <f t="shared" si="0"/>
        <v>62000</v>
      </c>
      <c r="H65" s="5"/>
      <c r="I65" s="5"/>
      <c r="J65" s="5">
        <v>62000</v>
      </c>
      <c r="K65" s="6"/>
      <c r="L65" s="6"/>
      <c r="M65" s="6">
        <v>62000</v>
      </c>
      <c r="N65" s="6"/>
      <c r="O65" s="6"/>
      <c r="P65" s="6"/>
      <c r="Q65" s="7"/>
      <c r="R65" s="7"/>
      <c r="S65" s="7"/>
      <c r="T65" s="23"/>
      <c r="U65" s="7"/>
      <c r="V65" s="7"/>
      <c r="X65" s="9"/>
      <c r="Y65" s="9"/>
      <c r="Z65" s="9"/>
      <c r="AB65" s="8"/>
      <c r="AC65" s="8"/>
      <c r="AD65" s="8"/>
      <c r="AE65" s="1"/>
      <c r="AF65" s="1"/>
      <c r="AG65" s="1"/>
    </row>
    <row r="66" spans="1:33" x14ac:dyDescent="0.35">
      <c r="A66" s="2" t="s">
        <v>27</v>
      </c>
      <c r="B66" s="2" t="s">
        <v>146</v>
      </c>
      <c r="D66" s="2" t="s">
        <v>147</v>
      </c>
      <c r="E66" t="s">
        <v>148</v>
      </c>
      <c r="F66" s="4">
        <v>162205.44399999999</v>
      </c>
      <c r="G66" s="101"/>
      <c r="H66" s="5"/>
      <c r="I66" s="5"/>
      <c r="J66" s="5"/>
      <c r="K66" s="6"/>
      <c r="L66" s="6"/>
      <c r="M66" s="6"/>
      <c r="N66" s="6"/>
      <c r="O66" s="6"/>
      <c r="P66" s="6"/>
      <c r="Q66" s="7"/>
      <c r="R66" s="7"/>
      <c r="S66" s="7">
        <v>162205.44399999999</v>
      </c>
      <c r="T66" s="23"/>
      <c r="U66" s="7"/>
      <c r="V66" s="7"/>
      <c r="X66" s="9"/>
      <c r="Y66" s="9"/>
      <c r="Z66" s="9"/>
      <c r="AB66" s="8"/>
      <c r="AC66" s="8"/>
      <c r="AD66" s="8">
        <v>162414.44399999999</v>
      </c>
      <c r="AE66" s="1"/>
      <c r="AF66" s="1"/>
      <c r="AG66" s="1"/>
    </row>
    <row r="67" spans="1:33" x14ac:dyDescent="0.35">
      <c r="A67" s="2" t="s">
        <v>27</v>
      </c>
      <c r="B67" s="2" t="s">
        <v>149</v>
      </c>
      <c r="D67" s="2" t="s">
        <v>152</v>
      </c>
      <c r="E67" t="s">
        <v>153</v>
      </c>
      <c r="F67" s="4">
        <v>22130.006999999998</v>
      </c>
      <c r="G67" s="101"/>
      <c r="H67" s="5"/>
      <c r="I67" s="5"/>
      <c r="J67" s="5"/>
      <c r="K67" s="6"/>
      <c r="L67" s="6"/>
      <c r="M67" s="6"/>
      <c r="N67" s="6"/>
      <c r="O67" s="6"/>
      <c r="P67" s="6"/>
      <c r="Q67" s="7"/>
      <c r="R67" s="7"/>
      <c r="S67" s="7"/>
      <c r="T67" s="23"/>
      <c r="U67" s="7"/>
      <c r="V67" s="7">
        <v>22130.006999999998</v>
      </c>
      <c r="X67" s="9"/>
      <c r="Y67" s="9"/>
      <c r="Z67" s="9">
        <v>36478</v>
      </c>
      <c r="AB67" s="8"/>
      <c r="AC67" s="8"/>
      <c r="AD67" s="8"/>
      <c r="AE67" s="1"/>
      <c r="AF67" s="1"/>
      <c r="AG67" s="1"/>
    </row>
    <row r="68" spans="1:33" x14ac:dyDescent="0.35">
      <c r="A68" s="2" t="s">
        <v>27</v>
      </c>
      <c r="B68" s="2" t="s">
        <v>154</v>
      </c>
      <c r="D68" s="2" t="s">
        <v>376</v>
      </c>
      <c r="E68" t="s">
        <v>155</v>
      </c>
      <c r="F68" s="4">
        <f>437662.34-665</f>
        <v>436997.34</v>
      </c>
      <c r="G68" s="101">
        <v>665</v>
      </c>
      <c r="H68" s="5"/>
      <c r="I68" s="5"/>
      <c r="J68" s="5">
        <v>665</v>
      </c>
      <c r="K68" s="6"/>
      <c r="L68" s="6"/>
      <c r="M68" s="6">
        <v>665</v>
      </c>
      <c r="N68" s="6"/>
      <c r="O68" s="6"/>
      <c r="P68" s="6"/>
      <c r="Q68" s="7"/>
      <c r="R68" s="7"/>
      <c r="S68" s="7">
        <v>282390.40000000002</v>
      </c>
      <c r="T68" s="23"/>
      <c r="U68" s="7"/>
      <c r="V68" s="7">
        <v>154606.94</v>
      </c>
      <c r="X68" s="9"/>
      <c r="Y68" s="9"/>
      <c r="Z68" s="9">
        <v>154606.94</v>
      </c>
      <c r="AB68" s="8"/>
      <c r="AC68" s="8"/>
      <c r="AD68" s="8">
        <v>432000</v>
      </c>
      <c r="AE68" s="1"/>
      <c r="AF68" s="1"/>
      <c r="AG68" s="1"/>
    </row>
    <row r="69" spans="1:33" x14ac:dyDescent="0.35">
      <c r="A69" s="2" t="s">
        <v>27</v>
      </c>
      <c r="B69" s="2" t="s">
        <v>372</v>
      </c>
      <c r="D69" s="2" t="s">
        <v>157</v>
      </c>
      <c r="E69" t="s">
        <v>158</v>
      </c>
      <c r="F69" s="4">
        <v>380305.56</v>
      </c>
      <c r="G69" s="101"/>
      <c r="H69" s="5"/>
      <c r="I69" s="5"/>
      <c r="J69" s="5"/>
      <c r="K69" s="6"/>
      <c r="L69" s="6"/>
      <c r="M69" s="6"/>
      <c r="N69" s="6"/>
      <c r="O69" s="6"/>
      <c r="P69" s="6"/>
      <c r="Q69" s="7">
        <v>185132.4</v>
      </c>
      <c r="R69" s="7"/>
      <c r="S69" s="7"/>
      <c r="T69" s="23">
        <v>195173.16</v>
      </c>
      <c r="U69" s="7"/>
      <c r="V69" s="7"/>
      <c r="X69" s="9">
        <v>195200</v>
      </c>
      <c r="Y69" s="9"/>
      <c r="Z69" s="9"/>
      <c r="AB69" s="8">
        <v>240000</v>
      </c>
      <c r="AC69" s="8"/>
      <c r="AD69" s="8"/>
      <c r="AE69" s="1"/>
      <c r="AF69" s="1"/>
      <c r="AG69" s="1"/>
    </row>
    <row r="70" spans="1:33" x14ac:dyDescent="0.35">
      <c r="A70" s="2" t="s">
        <v>27</v>
      </c>
      <c r="B70" s="2" t="s">
        <v>372</v>
      </c>
      <c r="D70" s="2" t="s">
        <v>157</v>
      </c>
      <c r="E70" t="s">
        <v>159</v>
      </c>
      <c r="F70" s="4">
        <v>36600</v>
      </c>
      <c r="G70" s="101"/>
      <c r="H70" s="5"/>
      <c r="I70" s="5"/>
      <c r="J70" s="5"/>
      <c r="K70" s="6"/>
      <c r="L70" s="6"/>
      <c r="M70" s="6"/>
      <c r="N70" s="6"/>
      <c r="O70" s="6"/>
      <c r="P70" s="6"/>
      <c r="Q70" s="7"/>
      <c r="R70" s="7"/>
      <c r="S70" s="7"/>
      <c r="T70" s="23"/>
      <c r="U70" s="7"/>
      <c r="V70" s="7">
        <v>36600</v>
      </c>
      <c r="X70" s="9"/>
      <c r="Y70" s="9"/>
      <c r="Z70" s="9">
        <v>36600</v>
      </c>
      <c r="AB70" s="8"/>
      <c r="AC70" s="8"/>
      <c r="AD70" s="8">
        <v>12000</v>
      </c>
      <c r="AE70" s="1"/>
      <c r="AF70" s="1"/>
      <c r="AG70" s="1"/>
    </row>
    <row r="71" spans="1:33" x14ac:dyDescent="0.35">
      <c r="A71" s="2" t="s">
        <v>27</v>
      </c>
      <c r="B71" s="2" t="s">
        <v>372</v>
      </c>
      <c r="D71" s="2" t="s">
        <v>315</v>
      </c>
      <c r="E71" t="s">
        <v>160</v>
      </c>
      <c r="F71" s="4">
        <f>436447.3-28469</f>
        <v>407978.3</v>
      </c>
      <c r="G71" s="101">
        <f t="shared" ref="G71:G86" si="2">H71+I71+J71</f>
        <v>28469</v>
      </c>
      <c r="H71" s="5"/>
      <c r="I71" s="5"/>
      <c r="J71" s="5">
        <v>28469</v>
      </c>
      <c r="K71" s="6"/>
      <c r="L71" s="6"/>
      <c r="M71" s="6">
        <v>28469</v>
      </c>
      <c r="N71" s="6"/>
      <c r="O71" s="6"/>
      <c r="P71" s="6"/>
      <c r="Q71" s="7"/>
      <c r="R71" s="7">
        <v>13040</v>
      </c>
      <c r="S71" s="7">
        <v>122469.59999999999</v>
      </c>
      <c r="T71" s="23"/>
      <c r="U71" s="7"/>
      <c r="V71" s="7">
        <v>272468.7</v>
      </c>
      <c r="X71" s="9"/>
      <c r="Y71" s="9"/>
      <c r="Z71" s="9">
        <v>244000</v>
      </c>
      <c r="AB71" s="8">
        <v>116400</v>
      </c>
      <c r="AC71" s="8">
        <v>19000</v>
      </c>
      <c r="AD71" s="8"/>
      <c r="AE71" s="1"/>
      <c r="AF71" s="1"/>
      <c r="AG71" s="1"/>
    </row>
    <row r="72" spans="1:33" x14ac:dyDescent="0.35">
      <c r="A72" s="2" t="s">
        <v>27</v>
      </c>
      <c r="B72" s="2" t="s">
        <v>372</v>
      </c>
      <c r="D72" s="2" t="s">
        <v>164</v>
      </c>
      <c r="E72" t="s">
        <v>165</v>
      </c>
      <c r="F72" s="4">
        <v>809327.34</v>
      </c>
      <c r="G72" s="101">
        <f t="shared" si="2"/>
        <v>169000</v>
      </c>
      <c r="H72" s="5">
        <v>124000</v>
      </c>
      <c r="I72" s="5">
        <v>45000</v>
      </c>
      <c r="J72" s="5"/>
      <c r="K72" s="6">
        <v>96406.28</v>
      </c>
      <c r="L72" s="6">
        <v>41934</v>
      </c>
      <c r="M72" s="6"/>
      <c r="N72" s="6">
        <v>27593.72</v>
      </c>
      <c r="O72" s="6">
        <v>3066</v>
      </c>
      <c r="P72" s="6"/>
      <c r="Q72" s="7"/>
      <c r="R72" s="7">
        <v>15542</v>
      </c>
      <c r="S72" s="7"/>
      <c r="T72" s="23">
        <v>582851.34</v>
      </c>
      <c r="U72" s="7">
        <v>41934</v>
      </c>
      <c r="V72" s="7"/>
      <c r="X72" s="9">
        <v>610000</v>
      </c>
      <c r="Y72" s="9">
        <v>45000</v>
      </c>
      <c r="Z72" s="9"/>
      <c r="AB72" s="8"/>
      <c r="AC72" s="8">
        <v>15200</v>
      </c>
      <c r="AD72" s="8"/>
      <c r="AE72" s="1"/>
      <c r="AF72" s="1"/>
      <c r="AG72" s="1"/>
    </row>
    <row r="73" spans="1:33" x14ac:dyDescent="0.35">
      <c r="A73" s="2" t="s">
        <v>27</v>
      </c>
      <c r="B73" s="2" t="s">
        <v>372</v>
      </c>
      <c r="D73" s="2" t="s">
        <v>162</v>
      </c>
      <c r="E73" t="s">
        <v>166</v>
      </c>
      <c r="F73" s="4">
        <v>817478.8</v>
      </c>
      <c r="G73" s="101">
        <f t="shared" si="2"/>
        <v>558000</v>
      </c>
      <c r="H73" s="5">
        <v>558000</v>
      </c>
      <c r="I73" s="5"/>
      <c r="J73" s="5"/>
      <c r="K73" s="6"/>
      <c r="L73" s="6"/>
      <c r="M73" s="6"/>
      <c r="N73" s="6">
        <v>558000</v>
      </c>
      <c r="O73" s="6"/>
      <c r="P73" s="6"/>
      <c r="Q73" s="7">
        <v>15478.8</v>
      </c>
      <c r="R73" s="7"/>
      <c r="S73" s="7"/>
      <c r="T73" s="23">
        <v>244000</v>
      </c>
      <c r="U73" s="7"/>
      <c r="V73" s="7"/>
      <c r="X73" s="9">
        <v>1220000</v>
      </c>
      <c r="Y73" s="9"/>
      <c r="Z73" s="9"/>
      <c r="AA73" s="1"/>
      <c r="AB73" s="8">
        <v>528000</v>
      </c>
      <c r="AC73" s="8"/>
      <c r="AD73" s="8">
        <v>226800</v>
      </c>
      <c r="AE73" s="1"/>
      <c r="AF73" s="1"/>
      <c r="AG73" s="1"/>
    </row>
    <row r="74" spans="1:33" x14ac:dyDescent="0.35">
      <c r="A74" s="2" t="s">
        <v>27</v>
      </c>
      <c r="B74" s="2" t="s">
        <v>372</v>
      </c>
      <c r="D74" s="2" t="s">
        <v>167</v>
      </c>
      <c r="E74" t="s">
        <v>168</v>
      </c>
      <c r="F74" s="4">
        <v>800051.98</v>
      </c>
      <c r="G74" s="101">
        <f t="shared" si="2"/>
        <v>417000</v>
      </c>
      <c r="H74" s="5">
        <v>372000</v>
      </c>
      <c r="I74" s="5">
        <v>45000</v>
      </c>
      <c r="J74" s="5"/>
      <c r="K74" s="6">
        <v>153845.56</v>
      </c>
      <c r="L74" s="6">
        <v>42056</v>
      </c>
      <c r="M74" s="6"/>
      <c r="N74" s="6">
        <v>218154.44</v>
      </c>
      <c r="O74" s="6">
        <v>2944</v>
      </c>
      <c r="P74" s="6"/>
      <c r="Q74" s="7">
        <v>7372.7999999999993</v>
      </c>
      <c r="R74" s="7">
        <v>23415</v>
      </c>
      <c r="S74" s="7"/>
      <c r="T74" s="23">
        <v>310208.18</v>
      </c>
      <c r="U74" s="7">
        <v>42056</v>
      </c>
      <c r="V74" s="7"/>
      <c r="X74" s="9">
        <v>524844</v>
      </c>
      <c r="Y74" s="9">
        <v>45000</v>
      </c>
      <c r="Z74" s="9"/>
      <c r="AB74" s="8">
        <v>68199.599999999991</v>
      </c>
      <c r="AC74" s="8">
        <v>15200</v>
      </c>
      <c r="AD74" s="8"/>
      <c r="AE74" s="1"/>
      <c r="AF74" s="1"/>
      <c r="AG74" s="1"/>
    </row>
    <row r="75" spans="1:33" x14ac:dyDescent="0.35">
      <c r="A75" s="2" t="s">
        <v>171</v>
      </c>
      <c r="B75" s="2" t="s">
        <v>172</v>
      </c>
      <c r="D75" s="2" t="s">
        <v>173</v>
      </c>
      <c r="E75" t="s">
        <v>174</v>
      </c>
      <c r="F75" s="4">
        <v>628469.06000000006</v>
      </c>
      <c r="G75" s="101">
        <f t="shared" si="2"/>
        <v>540011.52000000002</v>
      </c>
      <c r="H75" s="5"/>
      <c r="I75" s="5">
        <v>332500</v>
      </c>
      <c r="J75" s="5">
        <v>207511.52</v>
      </c>
      <c r="K75" s="6"/>
      <c r="L75" s="6">
        <v>332500</v>
      </c>
      <c r="M75" s="6">
        <v>21080</v>
      </c>
      <c r="N75" s="6">
        <v>0</v>
      </c>
      <c r="O75" s="6"/>
      <c r="P75" s="6">
        <v>186431.52</v>
      </c>
      <c r="Q75" s="7"/>
      <c r="R75" s="7"/>
      <c r="S75" s="7">
        <v>8694</v>
      </c>
      <c r="T75" s="23"/>
      <c r="U75" s="7">
        <v>76827</v>
      </c>
      <c r="V75" s="7">
        <v>2936.54</v>
      </c>
      <c r="X75" s="9">
        <v>73200</v>
      </c>
      <c r="Y75" s="9">
        <v>212500</v>
      </c>
      <c r="Z75" s="9">
        <v>186361.1</v>
      </c>
      <c r="AB75" s="8">
        <v>72000</v>
      </c>
      <c r="AC75" s="8">
        <v>62500</v>
      </c>
      <c r="AD75" s="8">
        <v>192000</v>
      </c>
      <c r="AE75" s="1"/>
      <c r="AF75" s="1"/>
      <c r="AG75" s="1"/>
    </row>
    <row r="76" spans="1:33" x14ac:dyDescent="0.35">
      <c r="A76" s="2" t="s">
        <v>171</v>
      </c>
      <c r="B76" s="2" t="s">
        <v>172</v>
      </c>
      <c r="D76" s="2" t="s">
        <v>175</v>
      </c>
      <c r="E76" t="s">
        <v>176</v>
      </c>
      <c r="F76" s="4">
        <v>372000</v>
      </c>
      <c r="G76" s="101">
        <f t="shared" si="2"/>
        <v>372000</v>
      </c>
      <c r="H76" s="5"/>
      <c r="I76" s="5">
        <v>310000</v>
      </c>
      <c r="J76" s="5">
        <v>62000</v>
      </c>
      <c r="K76" s="6"/>
      <c r="L76" s="6">
        <v>310000</v>
      </c>
      <c r="M76" s="6">
        <v>62000</v>
      </c>
      <c r="N76" s="6"/>
      <c r="O76" s="6"/>
      <c r="P76" s="6"/>
      <c r="Q76" s="7"/>
      <c r="R76" s="7"/>
      <c r="S76" s="7"/>
      <c r="T76" s="23"/>
      <c r="U76" s="7"/>
      <c r="V76" s="7"/>
      <c r="X76" s="9"/>
      <c r="Y76" s="9"/>
      <c r="Z76" s="9"/>
      <c r="AB76" s="8"/>
      <c r="AC76" s="8"/>
      <c r="AD76" s="8"/>
      <c r="AE76" s="1"/>
      <c r="AF76" s="1"/>
      <c r="AG76" s="1"/>
    </row>
    <row r="77" spans="1:33" x14ac:dyDescent="0.35">
      <c r="A77" s="2" t="s">
        <v>171</v>
      </c>
      <c r="B77" s="2" t="s">
        <v>172</v>
      </c>
      <c r="D77" s="2" t="s">
        <v>177</v>
      </c>
      <c r="E77" t="s">
        <v>178</v>
      </c>
      <c r="F77" s="4">
        <v>258171.19999999998</v>
      </c>
      <c r="G77" s="101">
        <f t="shared" si="2"/>
        <v>201184.4</v>
      </c>
      <c r="H77" s="5"/>
      <c r="I77" s="5">
        <v>145000</v>
      </c>
      <c r="J77" s="5">
        <v>56184.4</v>
      </c>
      <c r="K77" s="6"/>
      <c r="L77" s="6">
        <v>145000</v>
      </c>
      <c r="M77" s="6">
        <v>9920</v>
      </c>
      <c r="N77" s="6"/>
      <c r="O77" s="6"/>
      <c r="P77" s="6">
        <v>46264.4</v>
      </c>
      <c r="Q77" s="7"/>
      <c r="R77" s="7"/>
      <c r="S77" s="7"/>
      <c r="T77" s="23"/>
      <c r="U77" s="7">
        <v>53705</v>
      </c>
      <c r="V77" s="7">
        <v>3281.7999999999997</v>
      </c>
      <c r="X77" s="9"/>
      <c r="Y77" s="9">
        <v>100000</v>
      </c>
      <c r="Z77" s="9">
        <v>48800</v>
      </c>
      <c r="AB77" s="8"/>
      <c r="AC77" s="8"/>
      <c r="AD77" s="8"/>
      <c r="AE77" s="1"/>
      <c r="AF77" s="1"/>
      <c r="AG77" s="1"/>
    </row>
    <row r="78" spans="1:33" x14ac:dyDescent="0.35">
      <c r="A78" s="2" t="s">
        <v>171</v>
      </c>
      <c r="B78" s="2" t="s">
        <v>172</v>
      </c>
      <c r="D78" s="2" t="s">
        <v>179</v>
      </c>
      <c r="E78" t="s">
        <v>180</v>
      </c>
      <c r="F78" s="4">
        <v>332165.94</v>
      </c>
      <c r="G78" s="101">
        <f t="shared" si="2"/>
        <v>262000</v>
      </c>
      <c r="H78" s="5"/>
      <c r="I78" s="5">
        <v>200000</v>
      </c>
      <c r="J78" s="5">
        <v>62000</v>
      </c>
      <c r="K78" s="6"/>
      <c r="L78" s="6">
        <v>200000</v>
      </c>
      <c r="M78" s="6">
        <v>38473.480000000003</v>
      </c>
      <c r="N78" s="6"/>
      <c r="O78" s="6"/>
      <c r="P78" s="6">
        <v>23526.52</v>
      </c>
      <c r="Q78" s="7"/>
      <c r="R78" s="7">
        <v>15865</v>
      </c>
      <c r="S78" s="7"/>
      <c r="T78" s="23"/>
      <c r="U78" s="7">
        <v>53048</v>
      </c>
      <c r="V78" s="7">
        <v>1252.94</v>
      </c>
      <c r="X78" s="9"/>
      <c r="Y78" s="9">
        <v>121635</v>
      </c>
      <c r="Z78" s="9">
        <v>24400</v>
      </c>
      <c r="AB78" s="8"/>
      <c r="AC78" s="8">
        <v>37500</v>
      </c>
      <c r="AD78" s="8">
        <v>24000</v>
      </c>
      <c r="AE78" s="1"/>
      <c r="AF78" s="1"/>
      <c r="AG78" s="1"/>
    </row>
    <row r="79" spans="1:33" x14ac:dyDescent="0.35">
      <c r="A79" s="2" t="s">
        <v>171</v>
      </c>
      <c r="B79" s="2" t="s">
        <v>172</v>
      </c>
      <c r="D79" s="2" t="s">
        <v>181</v>
      </c>
      <c r="E79" t="s">
        <v>182</v>
      </c>
      <c r="F79" s="4">
        <v>347439.68000000005</v>
      </c>
      <c r="G79" s="101">
        <f t="shared" si="2"/>
        <v>172560.16</v>
      </c>
      <c r="H79" s="5"/>
      <c r="I79" s="5">
        <v>150198</v>
      </c>
      <c r="J79" s="5">
        <v>22362.16</v>
      </c>
      <c r="K79" s="6"/>
      <c r="L79" s="6">
        <v>150198</v>
      </c>
      <c r="M79" s="6">
        <v>21080</v>
      </c>
      <c r="N79" s="6"/>
      <c r="O79" s="6"/>
      <c r="P79" s="6">
        <v>1282.1600000000001</v>
      </c>
      <c r="Q79" s="7"/>
      <c r="R79" s="7">
        <v>62302</v>
      </c>
      <c r="S79" s="7"/>
      <c r="T79" s="23"/>
      <c r="U79" s="7">
        <v>101639</v>
      </c>
      <c r="V79" s="7">
        <v>10938.52</v>
      </c>
      <c r="X79" s="9"/>
      <c r="Y79" s="9">
        <v>150198</v>
      </c>
      <c r="Z79" s="9">
        <v>12200</v>
      </c>
      <c r="AB79" s="8"/>
      <c r="AC79" s="8">
        <v>62500</v>
      </c>
      <c r="AD79" s="8"/>
      <c r="AE79" s="1"/>
      <c r="AF79" s="1"/>
      <c r="AG79" s="1"/>
    </row>
    <row r="80" spans="1:33" x14ac:dyDescent="0.35">
      <c r="A80" s="2" t="s">
        <v>171</v>
      </c>
      <c r="B80" s="2" t="s">
        <v>172</v>
      </c>
      <c r="D80" s="2" t="s">
        <v>183</v>
      </c>
      <c r="E80" t="s">
        <v>184</v>
      </c>
      <c r="F80" s="4">
        <v>113320</v>
      </c>
      <c r="G80" s="101">
        <f t="shared" si="2"/>
        <v>113320</v>
      </c>
      <c r="H80" s="5"/>
      <c r="I80" s="5">
        <v>91000</v>
      </c>
      <c r="J80" s="5">
        <v>22320</v>
      </c>
      <c r="K80" s="6"/>
      <c r="L80" s="6">
        <v>91000</v>
      </c>
      <c r="M80" s="6">
        <v>22320</v>
      </c>
      <c r="N80" s="6"/>
      <c r="O80" s="6"/>
      <c r="P80" s="6"/>
      <c r="Q80" s="7"/>
      <c r="R80" s="7"/>
      <c r="S80" s="7"/>
      <c r="T80" s="23"/>
      <c r="U80" s="7"/>
      <c r="V80" s="7"/>
      <c r="X80" s="9"/>
      <c r="Y80" s="9"/>
      <c r="Z80" s="9"/>
      <c r="AB80" s="8"/>
      <c r="AC80" s="8"/>
      <c r="AD80" s="8"/>
      <c r="AE80" s="1"/>
      <c r="AF80" s="1"/>
      <c r="AG80" s="1"/>
    </row>
    <row r="81" spans="1:33" x14ac:dyDescent="0.35">
      <c r="A81" s="2" t="s">
        <v>171</v>
      </c>
      <c r="B81" s="2" t="s">
        <v>172</v>
      </c>
      <c r="D81" s="2" t="s">
        <v>185</v>
      </c>
      <c r="E81" t="s">
        <v>186</v>
      </c>
      <c r="F81" s="4">
        <v>75440</v>
      </c>
      <c r="G81" s="101">
        <f t="shared" si="2"/>
        <v>75440</v>
      </c>
      <c r="H81" s="5"/>
      <c r="I81" s="5">
        <v>52500</v>
      </c>
      <c r="J81" s="5">
        <v>22940</v>
      </c>
      <c r="K81" s="6"/>
      <c r="L81" s="6">
        <v>52500</v>
      </c>
      <c r="M81" s="6">
        <v>22940</v>
      </c>
      <c r="N81" s="6"/>
      <c r="O81" s="6"/>
      <c r="P81" s="6"/>
      <c r="Q81" s="7"/>
      <c r="R81" s="7"/>
      <c r="S81" s="7"/>
      <c r="T81" s="23"/>
      <c r="U81" s="7"/>
      <c r="V81" s="7"/>
      <c r="X81" s="9"/>
      <c r="Y81" s="9"/>
      <c r="Z81" s="9"/>
      <c r="AB81" s="8"/>
      <c r="AC81" s="8"/>
      <c r="AD81" s="8"/>
      <c r="AE81" s="1"/>
      <c r="AF81" s="1"/>
      <c r="AG81" s="1"/>
    </row>
    <row r="82" spans="1:33" x14ac:dyDescent="0.35">
      <c r="A82" s="2" t="s">
        <v>171</v>
      </c>
      <c r="B82" s="2" t="s">
        <v>187</v>
      </c>
      <c r="D82" s="2" t="s">
        <v>482</v>
      </c>
      <c r="E82" t="s">
        <v>189</v>
      </c>
      <c r="F82" s="4">
        <v>662526</v>
      </c>
      <c r="G82" s="101">
        <f t="shared" si="2"/>
        <v>312246.03999999998</v>
      </c>
      <c r="H82" s="5"/>
      <c r="I82" s="5">
        <v>202604</v>
      </c>
      <c r="J82" s="5">
        <v>109642.04</v>
      </c>
      <c r="K82" s="6"/>
      <c r="L82" s="6">
        <v>202604</v>
      </c>
      <c r="M82" s="6">
        <v>30380</v>
      </c>
      <c r="N82" s="6"/>
      <c r="O82" s="6"/>
      <c r="P82" s="6">
        <v>79262.039999999994</v>
      </c>
      <c r="Q82" s="7"/>
      <c r="R82" s="7">
        <v>23396</v>
      </c>
      <c r="S82" s="7">
        <v>14185.199999999999</v>
      </c>
      <c r="T82" s="23"/>
      <c r="U82" s="7">
        <f>39254-150</f>
        <v>39104</v>
      </c>
      <c r="V82" s="7">
        <v>273594.76</v>
      </c>
      <c r="X82" s="9"/>
      <c r="Y82" s="9">
        <v>39104</v>
      </c>
      <c r="Z82" s="9">
        <v>351578.38</v>
      </c>
      <c r="AB82" s="8"/>
      <c r="AC82" s="8">
        <v>62500</v>
      </c>
      <c r="AD82" s="8">
        <v>360000</v>
      </c>
      <c r="AE82" s="1"/>
      <c r="AF82" s="1"/>
      <c r="AG82" s="1"/>
    </row>
    <row r="83" spans="1:33" x14ac:dyDescent="0.35">
      <c r="A83" s="2" t="s">
        <v>171</v>
      </c>
      <c r="B83" s="2" t="s">
        <v>187</v>
      </c>
      <c r="D83" s="2" t="s">
        <v>190</v>
      </c>
      <c r="E83" t="s">
        <v>191</v>
      </c>
      <c r="F83" s="4">
        <v>303791.68000000005</v>
      </c>
      <c r="G83" s="101">
        <f t="shared" si="2"/>
        <v>220280.08000000002</v>
      </c>
      <c r="H83" s="5"/>
      <c r="I83" s="5">
        <v>124655</v>
      </c>
      <c r="J83" s="5">
        <v>95625.08</v>
      </c>
      <c r="K83" s="6"/>
      <c r="L83" s="6">
        <v>124655</v>
      </c>
      <c r="M83" s="6"/>
      <c r="N83" s="6"/>
      <c r="O83" s="6"/>
      <c r="P83" s="6">
        <v>95625.08</v>
      </c>
      <c r="Q83" s="7"/>
      <c r="R83" s="7">
        <v>12845</v>
      </c>
      <c r="S83" s="7">
        <v>13059.6</v>
      </c>
      <c r="T83" s="23"/>
      <c r="U83" s="7">
        <v>57607</v>
      </c>
      <c r="V83" s="7"/>
      <c r="X83" s="9"/>
      <c r="Y83" s="9">
        <v>124655</v>
      </c>
      <c r="Z83" s="9">
        <v>94082.739999999991</v>
      </c>
      <c r="AB83" s="8"/>
      <c r="AC83" s="8">
        <v>62500</v>
      </c>
      <c r="AD83" s="8">
        <v>105600</v>
      </c>
      <c r="AE83" s="1"/>
      <c r="AF83" s="1"/>
      <c r="AG83" s="1"/>
    </row>
    <row r="84" spans="1:33" x14ac:dyDescent="0.35">
      <c r="A84" s="2" t="s">
        <v>171</v>
      </c>
      <c r="B84" s="2" t="s">
        <v>192</v>
      </c>
      <c r="D84" s="2" t="s">
        <v>355</v>
      </c>
      <c r="E84" t="s">
        <v>193</v>
      </c>
      <c r="F84" s="4">
        <v>22684.68</v>
      </c>
      <c r="G84" s="101">
        <v>14207</v>
      </c>
      <c r="H84" s="5"/>
      <c r="I84" s="5"/>
      <c r="J84" s="5">
        <f>P84</f>
        <v>14206.9</v>
      </c>
      <c r="K84" s="6"/>
      <c r="L84" s="6"/>
      <c r="M84" s="6"/>
      <c r="N84" s="6"/>
      <c r="O84" s="6"/>
      <c r="P84" s="6">
        <f>11645+2561.9</f>
        <v>14206.9</v>
      </c>
      <c r="Q84" s="7"/>
      <c r="R84" s="7"/>
      <c r="S84" s="7"/>
      <c r="T84" s="23"/>
      <c r="U84" s="7"/>
      <c r="V84" s="7">
        <v>8477.7800000000007</v>
      </c>
      <c r="W84" t="s">
        <v>398</v>
      </c>
      <c r="X84" s="9"/>
      <c r="Y84" s="9"/>
      <c r="Z84" s="9">
        <v>142587.5</v>
      </c>
      <c r="AB84" s="8"/>
      <c r="AC84" s="8"/>
      <c r="AD84" s="8">
        <v>140250</v>
      </c>
      <c r="AE84" s="1"/>
      <c r="AF84" s="1"/>
      <c r="AG84" s="1"/>
    </row>
    <row r="85" spans="1:33" x14ac:dyDescent="0.35">
      <c r="A85" s="2" t="s">
        <v>171</v>
      </c>
      <c r="B85" s="2" t="s">
        <v>192</v>
      </c>
      <c r="D85" s="2" t="s">
        <v>356</v>
      </c>
      <c r="E85" t="s">
        <v>194</v>
      </c>
      <c r="F85" s="4">
        <v>64907.880000000005</v>
      </c>
      <c r="G85" s="101">
        <f t="shared" si="2"/>
        <v>64907.880000000005</v>
      </c>
      <c r="H85" s="5">
        <f>N85</f>
        <v>64907.880000000005</v>
      </c>
      <c r="I85" s="5"/>
      <c r="J85" s="5"/>
      <c r="K85" s="6"/>
      <c r="L85" s="6"/>
      <c r="M85" s="6"/>
      <c r="N85" s="6">
        <f>62345.98+2561.9</f>
        <v>64907.880000000005</v>
      </c>
      <c r="O85" s="6"/>
      <c r="P85" s="6"/>
      <c r="Q85" s="7"/>
      <c r="R85" s="7"/>
      <c r="S85" s="7"/>
      <c r="T85" s="23"/>
      <c r="U85" s="7"/>
      <c r="V85" s="7"/>
      <c r="W85" t="s">
        <v>398</v>
      </c>
      <c r="X85" s="9">
        <v>545340</v>
      </c>
      <c r="Y85" s="9"/>
      <c r="Z85" s="9"/>
      <c r="AB85" s="8">
        <v>536400</v>
      </c>
      <c r="AC85" s="8"/>
      <c r="AD85" s="8"/>
      <c r="AE85" s="1"/>
      <c r="AF85" s="1"/>
      <c r="AG85" s="1"/>
    </row>
    <row r="86" spans="1:33" x14ac:dyDescent="0.35">
      <c r="A86" s="2" t="s">
        <v>171</v>
      </c>
      <c r="B86" s="2" t="s">
        <v>192</v>
      </c>
      <c r="D86" s="2" t="s">
        <v>357</v>
      </c>
      <c r="E86" t="s">
        <v>195</v>
      </c>
      <c r="F86" s="4">
        <v>207292.98</v>
      </c>
      <c r="G86" s="101">
        <f t="shared" si="2"/>
        <v>50700.98</v>
      </c>
      <c r="H86" s="5"/>
      <c r="I86" s="5">
        <f>L86</f>
        <v>50700.98</v>
      </c>
      <c r="J86" s="5"/>
      <c r="K86" s="6"/>
      <c r="L86" s="6">
        <v>50700.98</v>
      </c>
      <c r="M86" s="6"/>
      <c r="N86" s="6"/>
      <c r="O86" s="6"/>
      <c r="P86" s="6"/>
      <c r="Q86" s="7"/>
      <c r="R86" s="7"/>
      <c r="S86" s="7"/>
      <c r="T86" s="23"/>
      <c r="U86" s="7">
        <v>156592</v>
      </c>
      <c r="V86" s="7"/>
      <c r="W86" t="s">
        <v>398</v>
      </c>
      <c r="X86" s="9"/>
      <c r="Y86" s="9">
        <v>464200</v>
      </c>
      <c r="Z86" s="9"/>
      <c r="AB86" s="8"/>
      <c r="AC86" s="8">
        <v>464200</v>
      </c>
      <c r="AD86" s="8"/>
      <c r="AE86" s="1"/>
      <c r="AF86" s="1"/>
      <c r="AG86" s="1"/>
    </row>
    <row r="87" spans="1:33" x14ac:dyDescent="0.35">
      <c r="A87" s="2" t="s">
        <v>4</v>
      </c>
      <c r="B87" s="2" t="s">
        <v>106</v>
      </c>
      <c r="C87" t="s">
        <v>250</v>
      </c>
      <c r="D87" s="105" t="s">
        <v>400</v>
      </c>
      <c r="E87" s="106" t="s">
        <v>350</v>
      </c>
      <c r="F87" s="4">
        <f>H87</f>
        <v>1284641.24</v>
      </c>
      <c r="G87" s="101">
        <f>H87</f>
        <v>1284641.24</v>
      </c>
      <c r="H87" s="5">
        <f>K87</f>
        <v>1284641.24</v>
      </c>
      <c r="I87" s="5"/>
      <c r="J87" s="5"/>
      <c r="K87" s="6">
        <f>(842541+193460)*1.24</f>
        <v>1284641.24</v>
      </c>
      <c r="L87" s="6"/>
      <c r="M87" s="6"/>
      <c r="N87" s="6"/>
      <c r="O87" s="6"/>
      <c r="P87" s="6"/>
      <c r="Q87" s="7"/>
      <c r="R87" s="7"/>
      <c r="S87" s="7"/>
      <c r="T87" s="23"/>
      <c r="U87" s="7"/>
      <c r="V87" s="7"/>
      <c r="X87" s="9"/>
      <c r="Y87" s="9"/>
      <c r="Z87" s="9"/>
      <c r="AB87" s="8"/>
      <c r="AC87" s="8"/>
      <c r="AD87" s="8"/>
      <c r="AE87" s="1"/>
      <c r="AF87" s="1"/>
      <c r="AG87" s="1"/>
    </row>
    <row r="88" spans="1:33" x14ac:dyDescent="0.35">
      <c r="A88" s="2" t="s">
        <v>4</v>
      </c>
      <c r="B88" s="2" t="s">
        <v>106</v>
      </c>
      <c r="C88" t="s">
        <v>253</v>
      </c>
      <c r="D88" s="105" t="s">
        <v>401</v>
      </c>
      <c r="E88" s="106" t="s">
        <v>346</v>
      </c>
      <c r="F88" s="4">
        <f>G88</f>
        <v>235600</v>
      </c>
      <c r="G88" s="101">
        <f>H88</f>
        <v>235600</v>
      </c>
      <c r="H88" s="5">
        <f>K88</f>
        <v>235600</v>
      </c>
      <c r="I88" s="5"/>
      <c r="J88" s="5"/>
      <c r="K88" s="6">
        <f>190000*1.24</f>
        <v>235600</v>
      </c>
      <c r="L88" s="6"/>
      <c r="M88" s="6"/>
      <c r="N88" s="6"/>
      <c r="O88" s="6"/>
      <c r="P88" s="6"/>
      <c r="Q88" s="7"/>
      <c r="R88" s="7"/>
      <c r="S88" s="7"/>
      <c r="T88" s="23"/>
      <c r="U88" s="7"/>
      <c r="V88" s="7"/>
      <c r="X88" s="9"/>
      <c r="Y88" s="9"/>
      <c r="Z88" s="9"/>
      <c r="AB88" s="8"/>
      <c r="AC88" s="8"/>
      <c r="AD88" s="8"/>
      <c r="AE88" s="1"/>
      <c r="AF88" s="1"/>
      <c r="AG88" s="1"/>
    </row>
    <row r="89" spans="1:33" x14ac:dyDescent="0.35">
      <c r="A89" s="2" t="s">
        <v>4</v>
      </c>
      <c r="B89" s="2" t="s">
        <v>106</v>
      </c>
      <c r="C89" t="s">
        <v>247</v>
      </c>
      <c r="D89" s="105" t="s">
        <v>402</v>
      </c>
      <c r="E89" s="106" t="s">
        <v>348</v>
      </c>
      <c r="F89" s="4">
        <f>G89</f>
        <v>377208</v>
      </c>
      <c r="G89" s="101">
        <f>H89</f>
        <v>377208</v>
      </c>
      <c r="H89" s="5">
        <f>K89</f>
        <v>377208</v>
      </c>
      <c r="I89" s="5"/>
      <c r="J89" s="5"/>
      <c r="K89" s="6">
        <f>304200*1.24</f>
        <v>377208</v>
      </c>
      <c r="L89" s="6"/>
      <c r="M89" s="6"/>
      <c r="N89" s="6"/>
      <c r="O89" s="6"/>
      <c r="P89" s="6"/>
      <c r="Q89" s="7"/>
      <c r="R89" s="7"/>
      <c r="S89" s="7"/>
      <c r="T89" s="23"/>
      <c r="U89" s="7"/>
      <c r="V89" s="7"/>
      <c r="X89" s="9"/>
      <c r="Y89" s="9"/>
      <c r="Z89" s="9"/>
      <c r="AB89" s="8"/>
      <c r="AC89" s="8"/>
      <c r="AD89" s="8"/>
      <c r="AE89" s="1"/>
      <c r="AF89" s="1"/>
      <c r="AG89" s="1"/>
    </row>
    <row r="90" spans="1:33" x14ac:dyDescent="0.35">
      <c r="A90" s="2" t="s">
        <v>4</v>
      </c>
      <c r="B90" s="2" t="s">
        <v>106</v>
      </c>
      <c r="C90" t="s">
        <v>479</v>
      </c>
      <c r="D90" s="105" t="s">
        <v>478</v>
      </c>
      <c r="E90" s="106" t="s">
        <v>108</v>
      </c>
      <c r="F90" s="4">
        <f>G90</f>
        <v>569904</v>
      </c>
      <c r="G90" s="101">
        <f>H90</f>
        <v>569904</v>
      </c>
      <c r="H90" s="5">
        <f>K90</f>
        <v>569904</v>
      </c>
      <c r="I90" s="5"/>
      <c r="J90" s="5"/>
      <c r="K90" s="6">
        <v>569904</v>
      </c>
      <c r="L90" s="6"/>
      <c r="M90" s="6"/>
      <c r="N90" s="6"/>
      <c r="O90" s="6"/>
      <c r="P90" s="6"/>
      <c r="Q90" s="7"/>
      <c r="R90" s="7"/>
      <c r="S90" s="7"/>
      <c r="T90" s="23"/>
      <c r="U90" s="7"/>
      <c r="V90" s="7"/>
      <c r="X90" s="9"/>
      <c r="Y90" s="9"/>
      <c r="Z90" s="9"/>
      <c r="AB90" s="8"/>
      <c r="AC90" s="8"/>
      <c r="AD90" s="8"/>
      <c r="AE90" s="1"/>
      <c r="AF90" s="1"/>
      <c r="AG90" s="1"/>
    </row>
    <row r="91" spans="1:33" ht="15" thickBot="1" x14ac:dyDescent="0.4">
      <c r="A91" s="19"/>
      <c r="B91" s="19"/>
      <c r="C91" s="19"/>
      <c r="D91" s="19"/>
      <c r="E91" s="19"/>
      <c r="F91" s="20">
        <f>SUM(F4:F90)</f>
        <v>24477503.355999999</v>
      </c>
      <c r="G91" s="102">
        <f>H91+I91+J91</f>
        <v>17140008.960000001</v>
      </c>
      <c r="H91" s="93">
        <f>SUM(H4:H90)</f>
        <v>8492808.9800000004</v>
      </c>
      <c r="I91" s="93">
        <f t="shared" ref="I91:J91" si="3">SUM(I4:I90)</f>
        <v>3476963.98</v>
      </c>
      <c r="J91" s="93">
        <f t="shared" si="3"/>
        <v>5170236.0000000009</v>
      </c>
      <c r="K91" s="94">
        <f t="shared" ref="K91:V91" si="4">SUM(K4:K86)</f>
        <v>3677308.5799999996</v>
      </c>
      <c r="L91" s="94">
        <f t="shared" si="4"/>
        <v>3416805.98</v>
      </c>
      <c r="M91" s="94">
        <f t="shared" si="4"/>
        <v>2504882.7600000002</v>
      </c>
      <c r="N91" s="95">
        <f t="shared" si="4"/>
        <v>2348147.16</v>
      </c>
      <c r="O91" s="94">
        <f t="shared" si="4"/>
        <v>60158</v>
      </c>
      <c r="P91" s="94">
        <f t="shared" si="4"/>
        <v>2665353.2400000002</v>
      </c>
      <c r="Q91" s="26">
        <f t="shared" si="4"/>
        <v>447337.41999999993</v>
      </c>
      <c r="R91" s="26">
        <f t="shared" si="4"/>
        <v>166405</v>
      </c>
      <c r="S91" s="26">
        <f t="shared" si="4"/>
        <v>721426.11399999994</v>
      </c>
      <c r="T91" s="27">
        <f t="shared" si="4"/>
        <v>3783866.9049999998</v>
      </c>
      <c r="U91" s="26">
        <f t="shared" si="4"/>
        <v>994175.91999999993</v>
      </c>
      <c r="V91" s="26">
        <f t="shared" si="4"/>
        <v>1771702.037</v>
      </c>
      <c r="X91" s="29">
        <f>SUM(X4:X86)</f>
        <v>7917446.2000000002</v>
      </c>
      <c r="Y91" s="29">
        <f>SUM(Y4:Y86)</f>
        <v>1989225</v>
      </c>
      <c r="Z91" s="29">
        <f>SUM(Z4:Z86)</f>
        <v>3692667.42</v>
      </c>
      <c r="AB91" s="28">
        <f>SUM(AB4:AB86)</f>
        <v>3068080.8000000003</v>
      </c>
      <c r="AC91" s="28">
        <f>SUM(AC4:AC86)</f>
        <v>1004929</v>
      </c>
      <c r="AD91" s="28">
        <f>SUM(AD4:AD86)</f>
        <v>2869327.6439999999</v>
      </c>
    </row>
    <row r="92" spans="1:33" ht="15.5" thickTop="1" thickBot="1" x14ac:dyDescent="0.4">
      <c r="H92" s="131">
        <f>H91+I91+J91</f>
        <v>17140008.960000001</v>
      </c>
      <c r="I92" s="131"/>
      <c r="J92" s="131"/>
      <c r="K92" s="132">
        <f>K91+L91+M91</f>
        <v>9598997.3200000003</v>
      </c>
      <c r="L92" s="132"/>
      <c r="M92" s="133"/>
      <c r="N92" s="134">
        <f>N91+O91+P91</f>
        <v>5073658.4000000004</v>
      </c>
      <c r="O92" s="132"/>
      <c r="P92" s="132"/>
      <c r="Q92" s="135">
        <f>Q91+R91+S91</f>
        <v>1335168.534</v>
      </c>
      <c r="R92" s="135"/>
      <c r="S92" s="136"/>
      <c r="T92" s="137">
        <f>T91+U91+V91</f>
        <v>6549744.8619999997</v>
      </c>
      <c r="U92" s="135"/>
      <c r="V92" s="135"/>
      <c r="X92" s="141">
        <f>X91+Y91+Z91</f>
        <v>13599338.619999999</v>
      </c>
      <c r="Y92" s="141"/>
      <c r="Z92" s="141"/>
      <c r="AB92" s="142">
        <f>AB91+AC91+AD91</f>
        <v>6942337.4440000001</v>
      </c>
      <c r="AC92" s="142"/>
      <c r="AD92" s="142"/>
    </row>
    <row r="93" spans="1:33" ht="15.5" thickTop="1" thickBot="1" x14ac:dyDescent="0.4"/>
    <row r="94" spans="1:33" ht="15" thickTop="1" x14ac:dyDescent="0.35">
      <c r="D94" t="s">
        <v>483</v>
      </c>
      <c r="E94" t="s">
        <v>484</v>
      </c>
      <c r="X94" s="138"/>
      <c r="Y94" s="138"/>
      <c r="Z94" s="138"/>
    </row>
    <row r="95" spans="1:33" x14ac:dyDescent="0.35">
      <c r="D95" s="2" t="s">
        <v>320</v>
      </c>
      <c r="E95" t="s">
        <v>383</v>
      </c>
      <c r="F95" s="1"/>
      <c r="G95" s="1"/>
      <c r="N95">
        <f>11645+2561.9+50700.98+62345.98+2561.9</f>
        <v>129815.76000000001</v>
      </c>
    </row>
    <row r="96" spans="1:33" x14ac:dyDescent="0.35">
      <c r="D96" s="2" t="s">
        <v>316</v>
      </c>
      <c r="E96" t="s">
        <v>384</v>
      </c>
    </row>
    <row r="97" spans="4:32" x14ac:dyDescent="0.35">
      <c r="D97" t="s">
        <v>319</v>
      </c>
      <c r="E97" t="s">
        <v>380</v>
      </c>
    </row>
    <row r="98" spans="4:32" x14ac:dyDescent="0.35">
      <c r="D98" t="s">
        <v>353</v>
      </c>
      <c r="E98" t="s">
        <v>363</v>
      </c>
      <c r="T98" s="1"/>
      <c r="V98" s="104"/>
    </row>
    <row r="99" spans="4:32" x14ac:dyDescent="0.35">
      <c r="D99" t="s">
        <v>352</v>
      </c>
      <c r="E99" t="s">
        <v>360</v>
      </c>
      <c r="S99" s="1"/>
    </row>
    <row r="100" spans="4:32" x14ac:dyDescent="0.35">
      <c r="D100" t="s">
        <v>358</v>
      </c>
      <c r="E100" t="s">
        <v>361</v>
      </c>
    </row>
    <row r="101" spans="4:32" x14ac:dyDescent="0.35">
      <c r="D101" t="s">
        <v>359</v>
      </c>
      <c r="E101" t="s">
        <v>362</v>
      </c>
      <c r="T101" s="1"/>
    </row>
    <row r="102" spans="4:32" x14ac:dyDescent="0.35">
      <c r="D102" t="s">
        <v>366</v>
      </c>
      <c r="E102" t="s">
        <v>369</v>
      </c>
      <c r="AD102" s="1"/>
    </row>
    <row r="103" spans="4:32" x14ac:dyDescent="0.35">
      <c r="D103" t="s">
        <v>370</v>
      </c>
      <c r="E103" t="s">
        <v>371</v>
      </c>
      <c r="S103" s="1"/>
      <c r="Z103" s="1"/>
      <c r="AD103" s="1"/>
      <c r="AF103" s="1"/>
    </row>
    <row r="104" spans="4:32" x14ac:dyDescent="0.35">
      <c r="D104" t="s">
        <v>373</v>
      </c>
      <c r="E104" t="s">
        <v>374</v>
      </c>
      <c r="N104" s="1"/>
      <c r="S104" s="1"/>
    </row>
    <row r="105" spans="4:32" x14ac:dyDescent="0.35">
      <c r="D105" t="s">
        <v>392</v>
      </c>
      <c r="E105" t="s">
        <v>394</v>
      </c>
      <c r="N105" s="1"/>
      <c r="S105" s="1"/>
    </row>
    <row r="106" spans="4:32" x14ac:dyDescent="0.35">
      <c r="D106" t="s">
        <v>393</v>
      </c>
      <c r="E106" t="s">
        <v>395</v>
      </c>
      <c r="I106" s="1"/>
      <c r="N106" s="1"/>
      <c r="S106" s="1"/>
    </row>
    <row r="107" spans="4:32" x14ac:dyDescent="0.35">
      <c r="D107" s="106" t="s">
        <v>403</v>
      </c>
      <c r="E107" s="106" t="s">
        <v>406</v>
      </c>
      <c r="F107" s="106"/>
      <c r="G107" s="107"/>
      <c r="H107" s="106"/>
    </row>
  </sheetData>
  <mergeCells count="17">
    <mergeCell ref="X1:Z1"/>
    <mergeCell ref="X94:Z94"/>
    <mergeCell ref="AB1:AD1"/>
    <mergeCell ref="N2:P2"/>
    <mergeCell ref="Q2:V2"/>
    <mergeCell ref="X92:Z92"/>
    <mergeCell ref="AB92:AD92"/>
    <mergeCell ref="H92:J92"/>
    <mergeCell ref="K92:M92"/>
    <mergeCell ref="N92:P92"/>
    <mergeCell ref="Q92:S92"/>
    <mergeCell ref="T92:V92"/>
    <mergeCell ref="H1:J1"/>
    <mergeCell ref="K1:M1"/>
    <mergeCell ref="N1:P1"/>
    <mergeCell ref="Q1:S1"/>
    <mergeCell ref="T1:V1"/>
  </mergeCells>
  <phoneticPr fontId="6" type="noConversion"/>
  <pageMargins left="0.7" right="0.7" top="0.75" bottom="0.75" header="0.3" footer="0.3"/>
  <ignoredErrors>
    <ignoredError sqref="G87 G9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49D16-D215-459B-A0C7-371F7020B1AF}">
  <dimension ref="A1:AG103"/>
  <sheetViews>
    <sheetView workbookViewId="0">
      <pane ySplit="3" topLeftCell="A4" activePane="bottomLeft" state="frozen"/>
      <selection pane="bottomLeft" activeCell="G90" sqref="G90"/>
    </sheetView>
  </sheetViews>
  <sheetFormatPr defaultRowHeight="14.5" x14ac:dyDescent="0.35"/>
  <cols>
    <col min="1" max="1" width="10.36328125" customWidth="1"/>
    <col min="2" max="2" width="33.08984375" bestFit="1" customWidth="1"/>
    <col min="3" max="3" width="9.453125" customWidth="1"/>
    <col min="4" max="4" width="22.81640625" customWidth="1"/>
    <col min="5" max="5" width="67.36328125" customWidth="1"/>
    <col min="6" max="7" width="10.90625" customWidth="1"/>
    <col min="8" max="8" width="15.26953125" customWidth="1"/>
    <col min="9" max="9" width="13.7265625" customWidth="1"/>
    <col min="10" max="10" width="17.81640625" customWidth="1"/>
    <col min="11" max="11" width="15.26953125" customWidth="1"/>
    <col min="12" max="12" width="13.7265625" customWidth="1"/>
    <col min="13" max="13" width="17.81640625" customWidth="1"/>
    <col min="14" max="14" width="15.26953125" customWidth="1"/>
    <col min="15" max="15" width="13.7265625" customWidth="1"/>
    <col min="16" max="16" width="17.81640625" customWidth="1"/>
    <col min="17" max="17" width="15.26953125" customWidth="1"/>
    <col min="18" max="18" width="13.7265625" customWidth="1"/>
    <col min="19" max="19" width="17.81640625" customWidth="1"/>
    <col min="20" max="20" width="15.26953125" bestFit="1" customWidth="1"/>
    <col min="21" max="21" width="13.7265625" bestFit="1" customWidth="1"/>
    <col min="22" max="22" width="17.81640625" bestFit="1" customWidth="1"/>
    <col min="23" max="23" width="9.90625" customWidth="1"/>
    <col min="24" max="24" width="15.26953125" bestFit="1" customWidth="1"/>
    <col min="25" max="25" width="13.7265625" bestFit="1" customWidth="1"/>
    <col min="26" max="26" width="17.81640625" bestFit="1" customWidth="1"/>
    <col min="27" max="27" width="17.81640625" customWidth="1"/>
    <col min="28" max="28" width="15.26953125" bestFit="1" customWidth="1"/>
    <col min="29" max="30" width="17.81640625" bestFit="1" customWidth="1"/>
  </cols>
  <sheetData>
    <row r="1" spans="1:33" ht="25" customHeight="1" x14ac:dyDescent="0.35">
      <c r="A1" s="90" t="s">
        <v>365</v>
      </c>
      <c r="B1" s="44"/>
      <c r="F1" s="88" t="s">
        <v>339</v>
      </c>
      <c r="G1" s="89">
        <v>2025</v>
      </c>
      <c r="H1" s="123" t="s">
        <v>199</v>
      </c>
      <c r="I1" s="123"/>
      <c r="J1" s="124"/>
      <c r="K1" s="125" t="s">
        <v>309</v>
      </c>
      <c r="L1" s="126"/>
      <c r="M1" s="127"/>
      <c r="N1" s="128" t="s">
        <v>338</v>
      </c>
      <c r="O1" s="129"/>
      <c r="P1" s="130"/>
      <c r="Q1" s="125" t="s">
        <v>313</v>
      </c>
      <c r="R1" s="126"/>
      <c r="S1" s="127"/>
      <c r="T1" s="125" t="s">
        <v>314</v>
      </c>
      <c r="U1" s="126"/>
      <c r="V1" s="127"/>
      <c r="X1" s="125" t="s">
        <v>312</v>
      </c>
      <c r="Y1" s="126"/>
      <c r="Z1" s="127"/>
      <c r="AB1" s="125" t="s">
        <v>208</v>
      </c>
      <c r="AC1" s="126"/>
      <c r="AD1" s="127"/>
    </row>
    <row r="2" spans="1:33" x14ac:dyDescent="0.35">
      <c r="A2" s="91" t="s">
        <v>0</v>
      </c>
      <c r="B2" s="91" t="s">
        <v>200</v>
      </c>
      <c r="C2" s="91" t="s">
        <v>1</v>
      </c>
      <c r="D2" s="91" t="s">
        <v>196</v>
      </c>
      <c r="E2" s="91" t="s">
        <v>2</v>
      </c>
      <c r="F2" s="21" t="s">
        <v>340</v>
      </c>
      <c r="G2" s="96" t="s">
        <v>340</v>
      </c>
      <c r="H2" s="10" t="s">
        <v>198</v>
      </c>
      <c r="I2" s="10" t="s">
        <v>198</v>
      </c>
      <c r="J2" s="10" t="s">
        <v>198</v>
      </c>
      <c r="K2" s="11" t="s">
        <v>3</v>
      </c>
      <c r="L2" s="11" t="s">
        <v>3</v>
      </c>
      <c r="M2" s="11" t="s">
        <v>3</v>
      </c>
      <c r="N2" s="139" t="s">
        <v>379</v>
      </c>
      <c r="O2" s="139"/>
      <c r="P2" s="139"/>
      <c r="Q2" s="140" t="s">
        <v>336</v>
      </c>
      <c r="R2" s="140"/>
      <c r="S2" s="140"/>
      <c r="T2" s="140"/>
      <c r="U2" s="140"/>
      <c r="V2" s="140"/>
      <c r="X2" s="13" t="s">
        <v>198</v>
      </c>
      <c r="Y2" s="13" t="s">
        <v>198</v>
      </c>
      <c r="Z2" s="13" t="s">
        <v>198</v>
      </c>
      <c r="AB2" s="12"/>
      <c r="AC2" s="12"/>
      <c r="AD2" s="12"/>
    </row>
    <row r="3" spans="1:33" x14ac:dyDescent="0.35">
      <c r="A3" s="92"/>
      <c r="B3" s="92"/>
      <c r="C3" s="92"/>
      <c r="D3" s="92"/>
      <c r="E3" s="92"/>
      <c r="F3" s="22" t="s">
        <v>197</v>
      </c>
      <c r="G3" s="22" t="s">
        <v>197</v>
      </c>
      <c r="H3" s="14" t="s">
        <v>202</v>
      </c>
      <c r="I3" s="14" t="s">
        <v>203</v>
      </c>
      <c r="J3" s="14" t="s">
        <v>204</v>
      </c>
      <c r="K3" s="15" t="s">
        <v>202</v>
      </c>
      <c r="L3" s="15" t="s">
        <v>203</v>
      </c>
      <c r="M3" s="15" t="s">
        <v>204</v>
      </c>
      <c r="N3" s="24" t="s">
        <v>202</v>
      </c>
      <c r="O3" s="15" t="s">
        <v>203</v>
      </c>
      <c r="P3" s="15" t="s">
        <v>204</v>
      </c>
      <c r="Q3" s="16" t="s">
        <v>202</v>
      </c>
      <c r="R3" s="16" t="s">
        <v>203</v>
      </c>
      <c r="S3" s="31" t="s">
        <v>204</v>
      </c>
      <c r="T3" s="16" t="s">
        <v>202</v>
      </c>
      <c r="U3" s="16" t="s">
        <v>203</v>
      </c>
      <c r="V3" s="16" t="s">
        <v>204</v>
      </c>
      <c r="X3" s="18" t="s">
        <v>202</v>
      </c>
      <c r="Y3" s="18" t="s">
        <v>203</v>
      </c>
      <c r="Z3" s="18" t="s">
        <v>204</v>
      </c>
      <c r="AB3" s="17" t="s">
        <v>202</v>
      </c>
      <c r="AC3" s="17" t="s">
        <v>203</v>
      </c>
      <c r="AD3" s="17" t="s">
        <v>204</v>
      </c>
    </row>
    <row r="4" spans="1:33" x14ac:dyDescent="0.35">
      <c r="A4" s="2" t="s">
        <v>4</v>
      </c>
      <c r="B4" s="2" t="s">
        <v>5</v>
      </c>
      <c r="C4" t="s">
        <v>6</v>
      </c>
      <c r="D4" s="2" t="s">
        <v>7</v>
      </c>
      <c r="E4" t="s">
        <v>8</v>
      </c>
      <c r="F4" s="4">
        <v>174016</v>
      </c>
      <c r="G4" s="100">
        <f>H4+I4+J4</f>
        <v>174016</v>
      </c>
      <c r="H4" s="5"/>
      <c r="I4" s="5">
        <v>144504</v>
      </c>
      <c r="J4" s="5">
        <v>29512</v>
      </c>
      <c r="K4" s="6"/>
      <c r="L4" s="6">
        <v>144504</v>
      </c>
      <c r="M4" s="6">
        <v>29512</v>
      </c>
      <c r="N4" s="6"/>
      <c r="O4" s="6"/>
      <c r="P4" s="6"/>
      <c r="Q4" s="7"/>
      <c r="R4" s="7"/>
      <c r="S4" s="7"/>
      <c r="T4" s="23"/>
      <c r="U4" s="7"/>
      <c r="V4" s="7"/>
      <c r="X4" s="9"/>
      <c r="Y4" s="9"/>
      <c r="Z4" s="9"/>
      <c r="AB4" s="8"/>
      <c r="AC4" s="8"/>
      <c r="AD4" s="8"/>
      <c r="AE4" s="1"/>
      <c r="AF4" s="1"/>
      <c r="AG4" s="1"/>
    </row>
    <row r="5" spans="1:33" x14ac:dyDescent="0.35">
      <c r="A5" s="2" t="s">
        <v>4</v>
      </c>
      <c r="B5" s="2" t="s">
        <v>5</v>
      </c>
      <c r="C5" t="s">
        <v>6</v>
      </c>
      <c r="D5" s="2" t="s">
        <v>9</v>
      </c>
      <c r="E5" t="s">
        <v>10</v>
      </c>
      <c r="F5" s="4">
        <v>72316</v>
      </c>
      <c r="G5" s="101">
        <f t="shared" ref="G5:G53" si="0">H5+I5+J5</f>
        <v>72316</v>
      </c>
      <c r="H5" s="5"/>
      <c r="I5" s="5">
        <v>56196</v>
      </c>
      <c r="J5" s="5">
        <v>16120</v>
      </c>
      <c r="K5" s="6"/>
      <c r="L5" s="6">
        <v>56196</v>
      </c>
      <c r="M5" s="6">
        <v>16120</v>
      </c>
      <c r="N5" s="6"/>
      <c r="O5" s="6"/>
      <c r="P5" s="6"/>
      <c r="Q5" s="7"/>
      <c r="R5" s="7"/>
      <c r="S5" s="7"/>
      <c r="T5" s="23"/>
      <c r="U5" s="7"/>
      <c r="V5" s="7"/>
      <c r="X5" s="9"/>
      <c r="Y5" s="9"/>
      <c r="Z5" s="9"/>
      <c r="AB5" s="8"/>
      <c r="AC5" s="8"/>
      <c r="AD5" s="8"/>
      <c r="AE5" s="1"/>
      <c r="AF5" s="1"/>
      <c r="AG5" s="1"/>
    </row>
    <row r="6" spans="1:33" x14ac:dyDescent="0.35">
      <c r="A6" s="2" t="s">
        <v>4</v>
      </c>
      <c r="B6" s="2" t="s">
        <v>5</v>
      </c>
      <c r="C6" t="s">
        <v>11</v>
      </c>
      <c r="D6" s="2" t="s">
        <v>12</v>
      </c>
      <c r="E6" t="s">
        <v>13</v>
      </c>
      <c r="F6" s="4">
        <v>568260</v>
      </c>
      <c r="G6" s="101">
        <f t="shared" si="0"/>
        <v>286440</v>
      </c>
      <c r="H6" s="5">
        <v>286440</v>
      </c>
      <c r="I6" s="5"/>
      <c r="J6" s="5"/>
      <c r="K6" s="6">
        <v>286440</v>
      </c>
      <c r="L6" s="6"/>
      <c r="M6" s="6"/>
      <c r="N6" s="6"/>
      <c r="O6" s="6"/>
      <c r="P6" s="6"/>
      <c r="Q6" s="7"/>
      <c r="R6" s="7"/>
      <c r="S6" s="7"/>
      <c r="T6" s="23">
        <v>281820</v>
      </c>
      <c r="U6" s="7"/>
      <c r="V6" s="7"/>
      <c r="X6" s="9">
        <v>281820</v>
      </c>
      <c r="Y6" s="9"/>
      <c r="Z6" s="9"/>
      <c r="AB6" s="8"/>
      <c r="AC6" s="8"/>
      <c r="AD6" s="8"/>
      <c r="AE6" s="1"/>
      <c r="AF6" s="1"/>
      <c r="AG6" s="1"/>
    </row>
    <row r="7" spans="1:33" x14ac:dyDescent="0.35">
      <c r="A7" s="2" t="s">
        <v>4</v>
      </c>
      <c r="B7" s="2" t="s">
        <v>5</v>
      </c>
      <c r="C7" t="s">
        <v>11</v>
      </c>
      <c r="D7" s="2" t="s">
        <v>14</v>
      </c>
      <c r="E7" t="s">
        <v>15</v>
      </c>
      <c r="F7" s="4">
        <v>1003991</v>
      </c>
      <c r="G7" s="101">
        <f t="shared" si="0"/>
        <v>953400</v>
      </c>
      <c r="H7" s="5">
        <v>744000</v>
      </c>
      <c r="I7" s="5">
        <v>63000</v>
      </c>
      <c r="J7" s="5">
        <f>P7</f>
        <v>146400</v>
      </c>
      <c r="K7" s="6">
        <v>744000</v>
      </c>
      <c r="L7" s="6">
        <v>63000</v>
      </c>
      <c r="M7" s="6"/>
      <c r="N7" s="6"/>
      <c r="O7" s="6"/>
      <c r="P7" s="6">
        <v>146400</v>
      </c>
      <c r="Q7" s="7"/>
      <c r="R7" s="7"/>
      <c r="S7" s="7"/>
      <c r="T7" s="23"/>
      <c r="U7" s="7">
        <v>50591</v>
      </c>
      <c r="V7" s="7"/>
      <c r="X7" s="9"/>
      <c r="Y7" s="9">
        <v>63000</v>
      </c>
      <c r="Z7" s="9">
        <v>146400</v>
      </c>
      <c r="AB7" s="8"/>
      <c r="AC7" s="8"/>
      <c r="AD7" s="8"/>
      <c r="AE7" s="1"/>
      <c r="AF7" s="1"/>
      <c r="AG7" s="1"/>
    </row>
    <row r="8" spans="1:33" x14ac:dyDescent="0.35">
      <c r="A8" s="2" t="s">
        <v>4</v>
      </c>
      <c r="B8" s="2" t="s">
        <v>5</v>
      </c>
      <c r="C8" t="s">
        <v>11</v>
      </c>
      <c r="D8" s="2" t="s">
        <v>16</v>
      </c>
      <c r="E8" t="s">
        <v>17</v>
      </c>
      <c r="F8" s="4">
        <v>161600</v>
      </c>
      <c r="G8" s="101">
        <f t="shared" si="0"/>
        <v>161600</v>
      </c>
      <c r="H8" s="5"/>
      <c r="I8" s="5">
        <v>161600</v>
      </c>
      <c r="J8" s="5"/>
      <c r="K8" s="6"/>
      <c r="L8" s="6">
        <v>161600</v>
      </c>
      <c r="M8" s="6"/>
      <c r="N8" s="6"/>
      <c r="O8" s="6"/>
      <c r="P8" s="6"/>
      <c r="Q8" s="7"/>
      <c r="R8" s="7"/>
      <c r="S8" s="7"/>
      <c r="T8" s="23"/>
      <c r="U8" s="7"/>
      <c r="V8" s="7"/>
      <c r="X8" s="9"/>
      <c r="Y8" s="9"/>
      <c r="Z8" s="9"/>
      <c r="AB8" s="8"/>
      <c r="AC8" s="8"/>
      <c r="AD8" s="8"/>
      <c r="AE8" s="1"/>
      <c r="AF8" s="1"/>
      <c r="AG8" s="1"/>
    </row>
    <row r="9" spans="1:33" x14ac:dyDescent="0.35">
      <c r="A9" s="2" t="s">
        <v>4</v>
      </c>
      <c r="B9" s="2" t="s">
        <v>5</v>
      </c>
      <c r="C9" t="s">
        <v>18</v>
      </c>
      <c r="D9" s="2" t="s">
        <v>19</v>
      </c>
      <c r="E9" t="s">
        <v>10</v>
      </c>
      <c r="F9" s="4">
        <v>163382</v>
      </c>
      <c r="G9" s="101">
        <f t="shared" si="0"/>
        <v>163382</v>
      </c>
      <c r="H9" s="5"/>
      <c r="I9" s="5">
        <v>131142</v>
      </c>
      <c r="J9" s="5">
        <v>32240</v>
      </c>
      <c r="K9" s="6"/>
      <c r="L9" s="6">
        <v>131142</v>
      </c>
      <c r="M9" s="6">
        <v>32240</v>
      </c>
      <c r="N9" s="6"/>
      <c r="O9" s="6"/>
      <c r="P9" s="6"/>
      <c r="Q9" s="7"/>
      <c r="R9" s="7"/>
      <c r="S9" s="7"/>
      <c r="T9" s="23"/>
      <c r="U9" s="7"/>
      <c r="V9" s="7"/>
      <c r="X9" s="9"/>
      <c r="Y9" s="9"/>
      <c r="Z9" s="9"/>
      <c r="AB9" s="8"/>
      <c r="AC9" s="8"/>
      <c r="AD9" s="8"/>
      <c r="AE9" s="1"/>
      <c r="AF9" s="1"/>
      <c r="AG9" s="1"/>
    </row>
    <row r="10" spans="1:33" x14ac:dyDescent="0.35">
      <c r="A10" s="2" t="s">
        <v>4</v>
      </c>
      <c r="B10" s="2" t="s">
        <v>5</v>
      </c>
      <c r="D10" s="2" t="s">
        <v>20</v>
      </c>
      <c r="E10" t="s">
        <v>205</v>
      </c>
      <c r="F10" s="4">
        <v>185004.34</v>
      </c>
      <c r="G10" s="101">
        <f t="shared" si="0"/>
        <v>160880</v>
      </c>
      <c r="H10" s="5"/>
      <c r="I10" s="5">
        <v>80280</v>
      </c>
      <c r="J10" s="5">
        <v>80600</v>
      </c>
      <c r="K10" s="6"/>
      <c r="L10" s="6">
        <v>80280</v>
      </c>
      <c r="M10" s="6"/>
      <c r="N10" s="6"/>
      <c r="O10" s="6"/>
      <c r="P10" s="6">
        <v>80600</v>
      </c>
      <c r="Q10" s="7"/>
      <c r="R10" s="7"/>
      <c r="S10" s="7"/>
      <c r="T10" s="23"/>
      <c r="U10" s="7">
        <v>24124.34</v>
      </c>
      <c r="V10" s="7"/>
      <c r="X10" s="9"/>
      <c r="Y10" s="9">
        <v>70000</v>
      </c>
      <c r="Z10" s="9">
        <v>80600</v>
      </c>
      <c r="AB10" s="8"/>
      <c r="AC10" s="8"/>
      <c r="AD10" s="8"/>
      <c r="AE10" s="1"/>
      <c r="AF10" s="1"/>
      <c r="AG10" s="1"/>
    </row>
    <row r="11" spans="1:33" x14ac:dyDescent="0.35">
      <c r="A11" s="2" t="s">
        <v>4</v>
      </c>
      <c r="B11" s="2" t="s">
        <v>5</v>
      </c>
      <c r="D11" s="2" t="s">
        <v>25</v>
      </c>
      <c r="E11" t="s">
        <v>10</v>
      </c>
      <c r="F11" s="4">
        <v>109542</v>
      </c>
      <c r="G11" s="101">
        <f t="shared" si="0"/>
        <v>109542</v>
      </c>
      <c r="H11" s="5"/>
      <c r="I11" s="5">
        <v>66142</v>
      </c>
      <c r="J11" s="5">
        <v>43400</v>
      </c>
      <c r="K11" s="6"/>
      <c r="L11" s="6">
        <v>66142</v>
      </c>
      <c r="M11" s="6">
        <v>43400</v>
      </c>
      <c r="N11" s="6"/>
      <c r="O11" s="6"/>
      <c r="P11" s="6"/>
      <c r="Q11" s="7"/>
      <c r="R11" s="7"/>
      <c r="S11" s="7"/>
      <c r="T11" s="23"/>
      <c r="U11" s="7"/>
      <c r="V11" s="7"/>
      <c r="X11" s="9"/>
      <c r="Y11" s="9"/>
      <c r="Z11" s="9"/>
      <c r="AB11" s="8"/>
      <c r="AC11" s="8"/>
      <c r="AD11" s="8"/>
      <c r="AE11" s="1"/>
      <c r="AF11" s="1"/>
      <c r="AG11" s="1"/>
    </row>
    <row r="12" spans="1:33" x14ac:dyDescent="0.35">
      <c r="A12" s="2" t="s">
        <v>4</v>
      </c>
      <c r="B12" s="2" t="s">
        <v>26</v>
      </c>
      <c r="C12" t="s">
        <v>337</v>
      </c>
      <c r="D12" s="2" t="s">
        <v>28</v>
      </c>
      <c r="E12" t="s">
        <v>29</v>
      </c>
      <c r="F12" s="4">
        <v>93000</v>
      </c>
      <c r="G12" s="101">
        <f t="shared" si="0"/>
        <v>93000</v>
      </c>
      <c r="H12" s="5">
        <v>93000</v>
      </c>
      <c r="I12" s="5"/>
      <c r="J12" s="5"/>
      <c r="K12" s="6"/>
      <c r="L12" s="6"/>
      <c r="M12" s="6"/>
      <c r="N12" s="6">
        <v>93000</v>
      </c>
      <c r="O12" s="6"/>
      <c r="P12" s="6"/>
      <c r="Q12" s="7"/>
      <c r="R12" s="7"/>
      <c r="S12" s="7"/>
      <c r="T12" s="23"/>
      <c r="U12" s="7"/>
      <c r="V12" s="7"/>
      <c r="X12" s="9">
        <v>91500</v>
      </c>
      <c r="Y12" s="9"/>
      <c r="Z12" s="9"/>
      <c r="AB12" s="8">
        <v>90000</v>
      </c>
      <c r="AC12" s="8"/>
      <c r="AD12" s="8"/>
      <c r="AE12" s="1"/>
      <c r="AF12" s="1"/>
      <c r="AG12" s="1"/>
    </row>
    <row r="13" spans="1:33" x14ac:dyDescent="0.35">
      <c r="A13" s="2" t="s">
        <v>4</v>
      </c>
      <c r="B13" s="2" t="s">
        <v>26</v>
      </c>
      <c r="D13" s="2" t="s">
        <v>30</v>
      </c>
      <c r="E13" t="s">
        <v>31</v>
      </c>
      <c r="F13" s="4">
        <v>97173.959999999992</v>
      </c>
      <c r="G13" s="101">
        <f t="shared" si="0"/>
        <v>49600</v>
      </c>
      <c r="H13" s="5"/>
      <c r="I13" s="5"/>
      <c r="J13" s="5">
        <v>49600</v>
      </c>
      <c r="K13" s="6"/>
      <c r="L13" s="6"/>
      <c r="M13" s="6">
        <v>35576.839999999997</v>
      </c>
      <c r="N13" s="6"/>
      <c r="O13" s="6"/>
      <c r="P13" s="6">
        <v>14023.16</v>
      </c>
      <c r="Q13" s="7"/>
      <c r="R13" s="7"/>
      <c r="S13" s="7">
        <f>47519.96+54</f>
        <v>47573.96</v>
      </c>
      <c r="T13" s="23"/>
      <c r="U13" s="7"/>
      <c r="V13" s="7"/>
      <c r="X13" s="9"/>
      <c r="Y13" s="9"/>
      <c r="Z13" s="9">
        <v>48800</v>
      </c>
      <c r="AB13" s="8"/>
      <c r="AC13" s="8"/>
      <c r="AD13" s="8">
        <v>47520</v>
      </c>
      <c r="AE13" s="1"/>
      <c r="AF13" s="1"/>
      <c r="AG13" s="1"/>
    </row>
    <row r="14" spans="1:33" x14ac:dyDescent="0.35">
      <c r="A14" s="2" t="s">
        <v>4</v>
      </c>
      <c r="B14" s="2" t="s">
        <v>26</v>
      </c>
      <c r="D14" s="2" t="s">
        <v>32</v>
      </c>
      <c r="E14" t="s">
        <v>33</v>
      </c>
      <c r="F14" s="4">
        <v>123021.92</v>
      </c>
      <c r="G14" s="101">
        <f t="shared" si="0"/>
        <v>63359.040000000001</v>
      </c>
      <c r="H14" s="5"/>
      <c r="I14" s="5"/>
      <c r="J14" s="5">
        <v>63359.040000000001</v>
      </c>
      <c r="K14" s="6"/>
      <c r="L14" s="6"/>
      <c r="M14" s="6"/>
      <c r="N14" s="6"/>
      <c r="O14" s="6"/>
      <c r="P14" s="6">
        <v>63359.040000000001</v>
      </c>
      <c r="Q14" s="7"/>
      <c r="R14" s="7"/>
      <c r="S14" s="7"/>
      <c r="T14" s="23"/>
      <c r="U14" s="7"/>
      <c r="V14" s="7">
        <v>59662.879999999997</v>
      </c>
      <c r="X14" s="9"/>
      <c r="Y14" s="9"/>
      <c r="Z14" s="9">
        <v>122000</v>
      </c>
      <c r="AB14" s="8"/>
      <c r="AC14" s="8"/>
      <c r="AD14" s="8">
        <v>60000</v>
      </c>
      <c r="AE14" s="1"/>
      <c r="AF14" s="1"/>
      <c r="AG14" s="1"/>
    </row>
    <row r="15" spans="1:33" x14ac:dyDescent="0.35">
      <c r="A15" s="2" t="s">
        <v>4</v>
      </c>
      <c r="B15" s="2" t="s">
        <v>26</v>
      </c>
      <c r="D15" s="2" t="s">
        <v>36</v>
      </c>
      <c r="E15" t="s">
        <v>37</v>
      </c>
      <c r="F15" s="4">
        <v>54298.78</v>
      </c>
      <c r="G15" s="101">
        <f t="shared" si="0"/>
        <v>18600</v>
      </c>
      <c r="H15" s="5"/>
      <c r="I15" s="5"/>
      <c r="J15" s="5">
        <v>18600</v>
      </c>
      <c r="K15" s="6"/>
      <c r="L15" s="6"/>
      <c r="M15" s="6">
        <v>18600</v>
      </c>
      <c r="N15" s="6"/>
      <c r="O15" s="6"/>
      <c r="P15" s="6"/>
      <c r="Q15" s="7"/>
      <c r="R15" s="7"/>
      <c r="S15" s="7">
        <v>17400</v>
      </c>
      <c r="T15" s="23"/>
      <c r="U15" s="7"/>
      <c r="V15" s="7">
        <v>18298.78</v>
      </c>
      <c r="X15" s="9"/>
      <c r="Y15" s="9"/>
      <c r="Z15" s="9">
        <v>18300</v>
      </c>
      <c r="AB15" s="8"/>
      <c r="AC15" s="8"/>
      <c r="AD15" s="8">
        <v>17997.599999999999</v>
      </c>
      <c r="AE15" s="1"/>
      <c r="AF15" s="1"/>
      <c r="AG15" s="1"/>
    </row>
    <row r="16" spans="1:33" x14ac:dyDescent="0.35">
      <c r="A16" s="2" t="s">
        <v>4</v>
      </c>
      <c r="B16" s="2" t="s">
        <v>26</v>
      </c>
      <c r="D16" s="2" t="s">
        <v>38</v>
      </c>
      <c r="E16" t="s">
        <v>39</v>
      </c>
      <c r="F16" s="4">
        <v>73756.08</v>
      </c>
      <c r="G16" s="101">
        <f t="shared" si="0"/>
        <v>37200</v>
      </c>
      <c r="H16" s="5"/>
      <c r="I16" s="5"/>
      <c r="J16" s="5">
        <v>37200</v>
      </c>
      <c r="K16" s="6"/>
      <c r="L16" s="6"/>
      <c r="M16" s="6">
        <v>37200</v>
      </c>
      <c r="N16" s="6"/>
      <c r="O16" s="6"/>
      <c r="P16" s="6"/>
      <c r="Q16" s="7"/>
      <c r="R16" s="7"/>
      <c r="S16" s="7"/>
      <c r="T16" s="23"/>
      <c r="U16" s="7"/>
      <c r="V16" s="7">
        <v>36556.080000000002</v>
      </c>
      <c r="X16" s="9"/>
      <c r="Y16" s="9"/>
      <c r="Z16" s="9">
        <v>36597.56</v>
      </c>
      <c r="AB16" s="8"/>
      <c r="AC16" s="8"/>
      <c r="AD16" s="8"/>
      <c r="AE16" s="1"/>
      <c r="AF16" s="1"/>
      <c r="AG16" s="1"/>
    </row>
    <row r="17" spans="1:33" x14ac:dyDescent="0.35">
      <c r="A17" s="2" t="s">
        <v>4</v>
      </c>
      <c r="B17" s="2" t="s">
        <v>40</v>
      </c>
      <c r="C17" t="s">
        <v>337</v>
      </c>
      <c r="D17" s="2" t="s">
        <v>41</v>
      </c>
      <c r="E17" t="s">
        <v>382</v>
      </c>
      <c r="F17" s="4">
        <v>280000</v>
      </c>
      <c r="G17" s="101">
        <f>H17+I17+J17</f>
        <v>280000</v>
      </c>
      <c r="H17" s="5">
        <f>K17</f>
        <v>150000</v>
      </c>
      <c r="I17" s="5">
        <f t="shared" ref="I17" si="1">L17</f>
        <v>105000</v>
      </c>
      <c r="J17" s="5">
        <f t="shared" ref="J17" si="2">M17</f>
        <v>25000</v>
      </c>
      <c r="K17" s="6">
        <v>150000</v>
      </c>
      <c r="L17" s="6">
        <v>105000</v>
      </c>
      <c r="M17" s="6">
        <v>25000</v>
      </c>
      <c r="N17" s="6"/>
      <c r="O17" s="6"/>
      <c r="P17" s="6"/>
      <c r="Q17" s="7"/>
      <c r="R17" s="7"/>
      <c r="S17" s="7"/>
      <c r="T17" s="23"/>
      <c r="U17" s="7"/>
      <c r="V17" s="7"/>
      <c r="X17" s="9"/>
      <c r="Y17" s="9"/>
      <c r="Z17" s="9"/>
      <c r="AB17" s="8"/>
      <c r="AC17" s="8"/>
      <c r="AD17" s="8"/>
      <c r="AE17" s="1"/>
      <c r="AF17" s="1"/>
      <c r="AG17" s="1"/>
    </row>
    <row r="18" spans="1:33" x14ac:dyDescent="0.35">
      <c r="A18" s="2" t="s">
        <v>4</v>
      </c>
      <c r="B18" s="2" t="s">
        <v>40</v>
      </c>
      <c r="D18" s="2" t="s">
        <v>42</v>
      </c>
      <c r="E18" t="s">
        <v>43</v>
      </c>
      <c r="F18" s="4">
        <v>61709.52</v>
      </c>
      <c r="G18" s="101">
        <f t="shared" si="0"/>
        <v>43990.239999999998</v>
      </c>
      <c r="H18" s="5"/>
      <c r="I18" s="5"/>
      <c r="J18" s="5">
        <v>43990.239999999998</v>
      </c>
      <c r="K18" s="6"/>
      <c r="L18" s="6"/>
      <c r="M18" s="6"/>
      <c r="N18" s="6"/>
      <c r="O18" s="6"/>
      <c r="P18" s="6">
        <f>43990.24</f>
        <v>43990.239999999998</v>
      </c>
      <c r="Q18" s="7"/>
      <c r="R18" s="7"/>
      <c r="S18" s="7"/>
      <c r="T18" s="23"/>
      <c r="U18" s="7"/>
      <c r="V18" s="7">
        <v>17719.28</v>
      </c>
      <c r="X18" s="9"/>
      <c r="Y18" s="9"/>
      <c r="Z18" s="9">
        <v>61000</v>
      </c>
      <c r="AB18" s="8"/>
      <c r="AC18" s="8"/>
      <c r="AD18" s="8">
        <v>60000</v>
      </c>
      <c r="AE18" s="1"/>
      <c r="AF18" s="1"/>
      <c r="AG18" s="1"/>
    </row>
    <row r="19" spans="1:33" x14ac:dyDescent="0.35">
      <c r="A19" s="2" t="s">
        <v>4</v>
      </c>
      <c r="B19" s="2" t="s">
        <v>40</v>
      </c>
      <c r="D19" s="2" t="s">
        <v>44</v>
      </c>
      <c r="E19" t="s">
        <v>45</v>
      </c>
      <c r="F19" s="4">
        <v>349628</v>
      </c>
      <c r="G19" s="101">
        <f t="shared" si="0"/>
        <v>295777.2</v>
      </c>
      <c r="H19" s="5"/>
      <c r="I19" s="5"/>
      <c r="J19" s="5">
        <v>295777.2</v>
      </c>
      <c r="K19" s="6"/>
      <c r="L19" s="6"/>
      <c r="M19" s="6">
        <v>198400</v>
      </c>
      <c r="N19" s="6"/>
      <c r="O19" s="6"/>
      <c r="P19" s="6">
        <v>97377.2</v>
      </c>
      <c r="Q19" s="7"/>
      <c r="R19" s="7"/>
      <c r="S19" s="7"/>
      <c r="T19" s="23"/>
      <c r="U19" s="7"/>
      <c r="V19" s="7">
        <v>53850.8</v>
      </c>
      <c r="X19" s="9"/>
      <c r="Y19" s="9"/>
      <c r="Z19" s="9">
        <v>122000</v>
      </c>
      <c r="AB19" s="8"/>
      <c r="AC19" s="8"/>
      <c r="AD19" s="8">
        <v>120000</v>
      </c>
      <c r="AE19" s="1"/>
      <c r="AF19" s="1"/>
      <c r="AG19" s="1"/>
    </row>
    <row r="20" spans="1:33" x14ac:dyDescent="0.35">
      <c r="A20" s="2" t="s">
        <v>4</v>
      </c>
      <c r="B20" s="2" t="s">
        <v>40</v>
      </c>
      <c r="D20" s="2" t="s">
        <v>46</v>
      </c>
      <c r="E20" t="s">
        <v>47</v>
      </c>
      <c r="F20" s="4">
        <v>258933.4</v>
      </c>
      <c r="G20" s="101">
        <f t="shared" si="0"/>
        <v>219452</v>
      </c>
      <c r="H20" s="5"/>
      <c r="I20" s="5"/>
      <c r="J20" s="5">
        <f>M20+P20</f>
        <v>219452</v>
      </c>
      <c r="K20" s="6"/>
      <c r="L20" s="6"/>
      <c r="M20" s="6">
        <v>101008.44</v>
      </c>
      <c r="N20" s="6"/>
      <c r="O20" s="6"/>
      <c r="P20" s="6">
        <v>118443.56</v>
      </c>
      <c r="Q20" s="7"/>
      <c r="R20" s="7"/>
      <c r="S20" s="7"/>
      <c r="T20" s="23"/>
      <c r="U20" s="7"/>
      <c r="V20" s="7">
        <v>39481.4</v>
      </c>
      <c r="X20" s="9"/>
      <c r="Y20" s="9"/>
      <c r="Z20" s="9">
        <v>164700</v>
      </c>
      <c r="AB20" s="8"/>
      <c r="AC20" s="8"/>
      <c r="AD20" s="8">
        <v>162000</v>
      </c>
      <c r="AE20" s="1"/>
      <c r="AF20" s="1"/>
      <c r="AG20" s="1"/>
    </row>
    <row r="21" spans="1:33" x14ac:dyDescent="0.35">
      <c r="A21" s="2" t="s">
        <v>4</v>
      </c>
      <c r="B21" s="2" t="s">
        <v>40</v>
      </c>
      <c r="D21" s="2" t="s">
        <v>48</v>
      </c>
      <c r="E21" t="s">
        <v>49</v>
      </c>
      <c r="F21" s="4">
        <v>1071261.1800000002</v>
      </c>
      <c r="G21" s="101">
        <f t="shared" si="0"/>
        <v>1062673.6000000001</v>
      </c>
      <c r="H21" s="5"/>
      <c r="I21" s="5"/>
      <c r="J21" s="5">
        <f>M21+P21</f>
        <v>1062673.6000000001</v>
      </c>
      <c r="K21" s="6"/>
      <c r="L21" s="6"/>
      <c r="M21" s="6">
        <f>744000-100000</f>
        <v>644000</v>
      </c>
      <c r="N21" s="6"/>
      <c r="O21" s="6"/>
      <c r="P21" s="6">
        <v>418673.6</v>
      </c>
      <c r="Q21" s="7"/>
      <c r="R21" s="7"/>
      <c r="S21" s="7"/>
      <c r="T21" s="23"/>
      <c r="U21" s="7"/>
      <c r="V21" s="7">
        <v>8587.58</v>
      </c>
      <c r="X21" s="9"/>
      <c r="Y21" s="9"/>
      <c r="Z21" s="9">
        <v>427000</v>
      </c>
      <c r="AB21" s="8"/>
      <c r="AC21" s="8"/>
      <c r="AD21" s="8">
        <v>54000</v>
      </c>
      <c r="AE21" s="1"/>
      <c r="AF21" s="1"/>
      <c r="AG21" s="1"/>
    </row>
    <row r="22" spans="1:33" x14ac:dyDescent="0.35">
      <c r="A22" s="2" t="s">
        <v>4</v>
      </c>
      <c r="B22" s="2" t="s">
        <v>40</v>
      </c>
      <c r="D22" s="2" t="s">
        <v>396</v>
      </c>
      <c r="E22" t="s">
        <v>51</v>
      </c>
      <c r="F22" s="4">
        <f>95347-4207</f>
        <v>91140</v>
      </c>
      <c r="G22" s="101">
        <f t="shared" si="0"/>
        <v>51000</v>
      </c>
      <c r="H22" s="5"/>
      <c r="I22" s="5">
        <v>51000</v>
      </c>
      <c r="J22" s="5"/>
      <c r="K22" s="6"/>
      <c r="L22" s="6">
        <v>51000</v>
      </c>
      <c r="M22" s="6"/>
      <c r="N22" s="6"/>
      <c r="O22" s="6"/>
      <c r="P22" s="6"/>
      <c r="Q22" s="7"/>
      <c r="R22" s="7"/>
      <c r="S22" s="7"/>
      <c r="T22" s="23"/>
      <c r="U22" s="7">
        <v>44347</v>
      </c>
      <c r="V22" s="7"/>
      <c r="X22" s="9"/>
      <c r="Y22" s="9">
        <v>40140</v>
      </c>
      <c r="Z22" s="9"/>
      <c r="AA22" s="1"/>
      <c r="AB22" s="8"/>
      <c r="AC22" s="8"/>
      <c r="AD22" s="8"/>
      <c r="AE22" s="1"/>
      <c r="AF22" s="1"/>
      <c r="AG22" s="1"/>
    </row>
    <row r="23" spans="1:33" x14ac:dyDescent="0.35">
      <c r="A23" s="2" t="s">
        <v>4</v>
      </c>
      <c r="B23" s="2" t="s">
        <v>40</v>
      </c>
      <c r="D23" s="2" t="s">
        <v>52</v>
      </c>
      <c r="E23" t="s">
        <v>53</v>
      </c>
      <c r="F23" s="4">
        <v>81359.839999999997</v>
      </c>
      <c r="G23" s="101">
        <f t="shared" si="0"/>
        <v>45970.080000000002</v>
      </c>
      <c r="H23" s="5"/>
      <c r="I23" s="5"/>
      <c r="J23" s="5">
        <f>P23</f>
        <v>45970.080000000002</v>
      </c>
      <c r="K23" s="6"/>
      <c r="L23" s="6"/>
      <c r="M23" s="6"/>
      <c r="N23" s="6"/>
      <c r="O23" s="6"/>
      <c r="P23" s="6">
        <f>112830.08-66860</f>
        <v>45970.080000000002</v>
      </c>
      <c r="Q23" s="7"/>
      <c r="R23" s="7"/>
      <c r="S23" s="7"/>
      <c r="T23" s="23"/>
      <c r="U23" s="7"/>
      <c r="V23" s="7">
        <v>35389.760000000002</v>
      </c>
      <c r="X23" s="9"/>
      <c r="Y23" s="9"/>
      <c r="Z23" s="9">
        <v>146400</v>
      </c>
      <c r="AB23" s="8"/>
      <c r="AC23" s="8"/>
      <c r="AD23" s="8">
        <v>144000</v>
      </c>
      <c r="AE23" s="1"/>
      <c r="AF23" s="1"/>
      <c r="AG23" s="1"/>
    </row>
    <row r="24" spans="1:33" x14ac:dyDescent="0.35">
      <c r="A24" s="2" t="s">
        <v>4</v>
      </c>
      <c r="B24" s="2" t="s">
        <v>40</v>
      </c>
      <c r="D24" s="2" t="s">
        <v>54</v>
      </c>
      <c r="E24" t="s">
        <v>55</v>
      </c>
      <c r="F24" s="4">
        <v>68154.240000000005</v>
      </c>
      <c r="G24" s="101">
        <f t="shared" si="0"/>
        <v>59287.520000000004</v>
      </c>
      <c r="H24" s="5"/>
      <c r="I24" s="5"/>
      <c r="J24" s="5">
        <f>P24</f>
        <v>59287.520000000004</v>
      </c>
      <c r="K24" s="6"/>
      <c r="L24" s="6"/>
      <c r="M24" s="6"/>
      <c r="N24" s="6"/>
      <c r="O24" s="6"/>
      <c r="P24" s="6">
        <f>87262.52-27975</f>
        <v>59287.520000000004</v>
      </c>
      <c r="Q24" s="7"/>
      <c r="R24" s="7"/>
      <c r="S24" s="7"/>
      <c r="T24" s="23"/>
      <c r="U24" s="7"/>
      <c r="V24" s="7">
        <v>8866.7199999999993</v>
      </c>
      <c r="X24" s="9"/>
      <c r="Y24" s="9"/>
      <c r="Z24" s="9">
        <v>97600</v>
      </c>
      <c r="AB24" s="8"/>
      <c r="AC24" s="8"/>
      <c r="AD24" s="8"/>
      <c r="AE24" s="1"/>
      <c r="AF24" s="1"/>
      <c r="AG24" s="1"/>
    </row>
    <row r="25" spans="1:33" x14ac:dyDescent="0.35">
      <c r="A25" s="2" t="s">
        <v>4</v>
      </c>
      <c r="B25" s="2" t="s">
        <v>40</v>
      </c>
      <c r="D25" s="2" t="s">
        <v>397</v>
      </c>
      <c r="E25" t="s">
        <v>51</v>
      </c>
      <c r="F25" s="4">
        <f>111689-5496</f>
        <v>106193</v>
      </c>
      <c r="G25" s="101">
        <f t="shared" si="0"/>
        <v>51000</v>
      </c>
      <c r="H25" s="5"/>
      <c r="I25" s="5">
        <v>51000</v>
      </c>
      <c r="J25" s="5"/>
      <c r="K25" s="6"/>
      <c r="L25" s="6">
        <v>51000</v>
      </c>
      <c r="M25" s="6"/>
      <c r="N25" s="6"/>
      <c r="O25" s="6"/>
      <c r="P25" s="6"/>
      <c r="Q25" s="7"/>
      <c r="R25" s="7"/>
      <c r="S25" s="7"/>
      <c r="T25" s="23"/>
      <c r="U25" s="7">
        <v>60689</v>
      </c>
      <c r="V25" s="7"/>
      <c r="X25" s="9"/>
      <c r="Y25" s="9">
        <v>55193</v>
      </c>
      <c r="Z25" s="9"/>
      <c r="AA25" s="1"/>
      <c r="AB25" s="8"/>
      <c r="AC25" s="8"/>
      <c r="AD25" s="8"/>
      <c r="AE25" s="1"/>
      <c r="AF25" s="1"/>
      <c r="AG25" s="1"/>
    </row>
    <row r="26" spans="1:33" x14ac:dyDescent="0.35">
      <c r="A26" s="2" t="s">
        <v>4</v>
      </c>
      <c r="B26" s="2" t="s">
        <v>40</v>
      </c>
      <c r="D26" s="2" t="s">
        <v>57</v>
      </c>
      <c r="E26" t="s">
        <v>381</v>
      </c>
      <c r="F26" s="4">
        <v>224593.8</v>
      </c>
      <c r="G26" s="101">
        <f t="shared" si="0"/>
        <v>165899.6</v>
      </c>
      <c r="H26" s="5">
        <v>52972.800000000003</v>
      </c>
      <c r="I26" s="5"/>
      <c r="J26" s="5">
        <v>112926.8</v>
      </c>
      <c r="K26" s="6"/>
      <c r="L26" s="6"/>
      <c r="M26" s="6"/>
      <c r="N26" s="6">
        <v>52972.800000000003</v>
      </c>
      <c r="O26" s="6"/>
      <c r="P26" s="6">
        <v>112926.8</v>
      </c>
      <c r="Q26" s="7"/>
      <c r="R26" s="7"/>
      <c r="S26" s="7"/>
      <c r="T26" s="23"/>
      <c r="U26" s="7"/>
      <c r="V26" s="7">
        <v>58694.2</v>
      </c>
      <c r="X26" s="9">
        <v>97600</v>
      </c>
      <c r="Y26" s="9"/>
      <c r="Z26" s="9">
        <v>122000</v>
      </c>
      <c r="AB26" s="8"/>
      <c r="AC26" s="8"/>
      <c r="AD26" s="8">
        <v>120000</v>
      </c>
      <c r="AE26" s="1"/>
      <c r="AF26" s="1"/>
      <c r="AG26" s="1"/>
    </row>
    <row r="27" spans="1:33" x14ac:dyDescent="0.35">
      <c r="A27" s="2" t="s">
        <v>4</v>
      </c>
      <c r="B27" s="2" t="s">
        <v>40</v>
      </c>
      <c r="D27" s="2" t="s">
        <v>58</v>
      </c>
      <c r="E27" t="s">
        <v>59</v>
      </c>
      <c r="F27" s="4">
        <v>124000</v>
      </c>
      <c r="G27" s="101">
        <f t="shared" si="0"/>
        <v>124000</v>
      </c>
      <c r="H27" s="5"/>
      <c r="I27" s="5"/>
      <c r="J27" s="5">
        <v>124000</v>
      </c>
      <c r="K27" s="6"/>
      <c r="L27" s="6"/>
      <c r="M27" s="6">
        <v>124000</v>
      </c>
      <c r="N27" s="6"/>
      <c r="O27" s="6"/>
      <c r="P27" s="6"/>
      <c r="Q27" s="7"/>
      <c r="R27" s="7"/>
      <c r="S27" s="7"/>
      <c r="T27" s="23"/>
      <c r="U27" s="7"/>
      <c r="V27" s="7"/>
      <c r="X27" s="9"/>
      <c r="Y27" s="9"/>
      <c r="Z27" s="9"/>
      <c r="AB27" s="8"/>
      <c r="AC27" s="8"/>
      <c r="AD27" s="8"/>
      <c r="AE27" s="1"/>
      <c r="AF27" s="1"/>
      <c r="AG27" s="1"/>
    </row>
    <row r="28" spans="1:33" x14ac:dyDescent="0.35">
      <c r="A28" s="2" t="s">
        <v>4</v>
      </c>
      <c r="B28" s="2" t="s">
        <v>40</v>
      </c>
      <c r="D28" s="2" t="s">
        <v>60</v>
      </c>
      <c r="E28" t="s">
        <v>61</v>
      </c>
      <c r="F28" s="4">
        <v>124000</v>
      </c>
      <c r="G28" s="101">
        <f t="shared" si="0"/>
        <v>124000</v>
      </c>
      <c r="H28" s="5"/>
      <c r="I28" s="5"/>
      <c r="J28" s="5">
        <v>124000</v>
      </c>
      <c r="K28" s="6"/>
      <c r="L28" s="6"/>
      <c r="M28" s="6">
        <v>124000</v>
      </c>
      <c r="N28" s="6"/>
      <c r="O28" s="6"/>
      <c r="P28" s="6"/>
      <c r="Q28" s="7"/>
      <c r="R28" s="7"/>
      <c r="S28" s="7"/>
      <c r="T28" s="23"/>
      <c r="U28" s="7"/>
      <c r="V28" s="7"/>
      <c r="X28" s="9"/>
      <c r="Y28" s="9"/>
      <c r="Z28" s="9"/>
      <c r="AB28" s="8"/>
      <c r="AC28" s="8"/>
      <c r="AD28" s="8"/>
      <c r="AE28" s="1"/>
      <c r="AF28" s="1"/>
      <c r="AG28" s="1"/>
    </row>
    <row r="29" spans="1:33" x14ac:dyDescent="0.35">
      <c r="A29" s="2" t="s">
        <v>4</v>
      </c>
      <c r="B29" s="2" t="s">
        <v>62</v>
      </c>
      <c r="D29" s="2" t="s">
        <v>63</v>
      </c>
      <c r="E29" t="s">
        <v>64</v>
      </c>
      <c r="F29" s="4">
        <v>37988.720000000001</v>
      </c>
      <c r="G29" s="101">
        <f t="shared" si="0"/>
        <v>34720</v>
      </c>
      <c r="H29" s="5"/>
      <c r="I29" s="5"/>
      <c r="J29" s="5">
        <v>34720</v>
      </c>
      <c r="K29" s="6"/>
      <c r="L29" s="6"/>
      <c r="M29" s="6"/>
      <c r="N29" s="6"/>
      <c r="O29" s="6"/>
      <c r="P29" s="6">
        <v>34720</v>
      </c>
      <c r="Q29" s="7"/>
      <c r="R29" s="7"/>
      <c r="S29" s="7"/>
      <c r="T29" s="23"/>
      <c r="U29" s="7"/>
      <c r="V29" s="7">
        <v>3268.72</v>
      </c>
      <c r="X29" s="9"/>
      <c r="Y29" s="9"/>
      <c r="Z29" s="9">
        <v>39040</v>
      </c>
      <c r="AB29" s="8"/>
      <c r="AC29" s="8"/>
      <c r="AD29" s="8"/>
      <c r="AE29" s="1"/>
      <c r="AF29" s="1"/>
      <c r="AG29" s="1"/>
    </row>
    <row r="30" spans="1:33" x14ac:dyDescent="0.35">
      <c r="A30" s="2" t="s">
        <v>4</v>
      </c>
      <c r="B30" s="2" t="s">
        <v>62</v>
      </c>
      <c r="D30" s="2" t="s">
        <v>65</v>
      </c>
      <c r="E30" t="s">
        <v>66</v>
      </c>
      <c r="F30" s="4">
        <v>316077.21999999997</v>
      </c>
      <c r="G30" s="101">
        <f t="shared" si="0"/>
        <v>239200</v>
      </c>
      <c r="H30" s="5"/>
      <c r="I30" s="5">
        <v>239200</v>
      </c>
      <c r="J30" s="5"/>
      <c r="K30" s="6"/>
      <c r="L30" s="6">
        <v>239200</v>
      </c>
      <c r="M30" s="6"/>
      <c r="N30" s="6"/>
      <c r="O30" s="6"/>
      <c r="P30" s="6"/>
      <c r="Q30" s="7"/>
      <c r="R30" s="7"/>
      <c r="S30" s="7"/>
      <c r="T30" s="23"/>
      <c r="U30" s="7">
        <v>76877.22</v>
      </c>
      <c r="V30" s="7"/>
      <c r="X30" s="9"/>
      <c r="Y30" s="9">
        <v>239200</v>
      </c>
      <c r="Z30" s="9"/>
      <c r="AB30" s="8"/>
      <c r="AC30" s="8"/>
      <c r="AD30" s="8"/>
      <c r="AE30" s="1"/>
      <c r="AF30" s="1"/>
      <c r="AG30" s="1"/>
    </row>
    <row r="31" spans="1:33" x14ac:dyDescent="0.35">
      <c r="A31" s="2" t="s">
        <v>4</v>
      </c>
      <c r="B31" s="2" t="s">
        <v>62</v>
      </c>
      <c r="D31" s="2" t="s">
        <v>67</v>
      </c>
      <c r="E31" t="s">
        <v>68</v>
      </c>
      <c r="F31" s="4">
        <v>49600</v>
      </c>
      <c r="G31" s="101">
        <f t="shared" si="0"/>
        <v>49600</v>
      </c>
      <c r="H31" s="5"/>
      <c r="I31" s="5"/>
      <c r="J31" s="5">
        <v>49600</v>
      </c>
      <c r="K31" s="6"/>
      <c r="L31" s="6"/>
      <c r="M31" s="6"/>
      <c r="N31" s="6"/>
      <c r="O31" s="6"/>
      <c r="P31" s="6">
        <v>49600</v>
      </c>
      <c r="Q31" s="7"/>
      <c r="R31" s="7"/>
      <c r="S31" s="7"/>
      <c r="T31" s="23"/>
      <c r="U31" s="7"/>
      <c r="V31" s="7"/>
      <c r="X31" s="9"/>
      <c r="Y31" s="9"/>
      <c r="Z31" s="9">
        <v>48800</v>
      </c>
      <c r="AB31" s="8"/>
      <c r="AC31" s="8"/>
      <c r="AD31" s="8"/>
      <c r="AE31" s="1"/>
      <c r="AF31" s="1"/>
      <c r="AG31" s="1"/>
    </row>
    <row r="32" spans="1:33" x14ac:dyDescent="0.35">
      <c r="A32" s="2" t="s">
        <v>4</v>
      </c>
      <c r="B32" s="2" t="s">
        <v>62</v>
      </c>
      <c r="D32" s="2" t="s">
        <v>69</v>
      </c>
      <c r="E32" t="s">
        <v>70</v>
      </c>
      <c r="F32" s="4">
        <v>37200</v>
      </c>
      <c r="G32" s="101">
        <f t="shared" si="0"/>
        <v>37200</v>
      </c>
      <c r="H32" s="5"/>
      <c r="I32" s="5"/>
      <c r="J32" s="5">
        <v>37200</v>
      </c>
      <c r="K32" s="6"/>
      <c r="L32" s="6"/>
      <c r="M32" s="6"/>
      <c r="N32" s="6"/>
      <c r="O32" s="6"/>
      <c r="P32" s="6">
        <v>37200</v>
      </c>
      <c r="Q32" s="7"/>
      <c r="R32" s="7"/>
      <c r="S32" s="7"/>
      <c r="T32" s="23"/>
      <c r="U32" s="7"/>
      <c r="V32" s="7"/>
      <c r="X32" s="9">
        <v>36600</v>
      </c>
      <c r="Y32" s="9"/>
      <c r="Z32" s="9"/>
      <c r="AB32" s="8"/>
      <c r="AC32" s="8"/>
      <c r="AD32" s="8"/>
      <c r="AE32" s="1"/>
      <c r="AF32" s="1"/>
      <c r="AG32" s="1"/>
    </row>
    <row r="33" spans="1:33" x14ac:dyDescent="0.35">
      <c r="A33" s="2" t="s">
        <v>4</v>
      </c>
      <c r="B33" s="2" t="s">
        <v>62</v>
      </c>
      <c r="D33" s="2" t="s">
        <v>71</v>
      </c>
      <c r="E33" t="s">
        <v>72</v>
      </c>
      <c r="F33" s="4">
        <v>49600</v>
      </c>
      <c r="G33" s="101">
        <f t="shared" si="0"/>
        <v>49600</v>
      </c>
      <c r="H33" s="5"/>
      <c r="I33" s="5"/>
      <c r="J33" s="5">
        <v>49600</v>
      </c>
      <c r="K33" s="6"/>
      <c r="L33" s="6"/>
      <c r="M33" s="6">
        <v>12400</v>
      </c>
      <c r="N33" s="6"/>
      <c r="O33" s="6"/>
      <c r="P33" s="6">
        <v>37200</v>
      </c>
      <c r="Q33" s="7"/>
      <c r="R33" s="7"/>
      <c r="S33" s="7"/>
      <c r="T33" s="23"/>
      <c r="U33" s="7"/>
      <c r="V33" s="7"/>
      <c r="X33" s="9"/>
      <c r="Y33" s="9"/>
      <c r="Z33" s="9">
        <v>36600</v>
      </c>
      <c r="AB33" s="8"/>
      <c r="AC33" s="8"/>
      <c r="AD33" s="8"/>
      <c r="AE33" s="1"/>
      <c r="AF33" s="1"/>
      <c r="AG33" s="1"/>
    </row>
    <row r="34" spans="1:33" x14ac:dyDescent="0.35">
      <c r="A34" s="2" t="s">
        <v>4</v>
      </c>
      <c r="B34" s="2" t="s">
        <v>76</v>
      </c>
      <c r="D34" s="2" t="s">
        <v>77</v>
      </c>
      <c r="E34" t="s">
        <v>78</v>
      </c>
      <c r="F34" s="4">
        <v>119410.68</v>
      </c>
      <c r="G34" s="101">
        <f t="shared" si="0"/>
        <v>113999.67999999999</v>
      </c>
      <c r="H34" s="5"/>
      <c r="I34" s="5">
        <v>59400</v>
      </c>
      <c r="J34" s="5">
        <v>54599.68</v>
      </c>
      <c r="K34" s="6"/>
      <c r="L34" s="6">
        <v>59400</v>
      </c>
      <c r="M34" s="6"/>
      <c r="N34" s="6"/>
      <c r="O34" s="6"/>
      <c r="P34" s="6">
        <v>54599.68</v>
      </c>
      <c r="Q34" s="7"/>
      <c r="R34" s="7"/>
      <c r="S34" s="7"/>
      <c r="T34" s="23"/>
      <c r="U34" s="7">
        <v>5411</v>
      </c>
      <c r="V34" s="7"/>
      <c r="X34" s="9"/>
      <c r="Y34" s="9">
        <v>59400</v>
      </c>
      <c r="Z34" s="9">
        <v>101455.2</v>
      </c>
      <c r="AB34" s="8"/>
      <c r="AC34" s="8">
        <v>52182</v>
      </c>
      <c r="AD34" s="8">
        <v>146745.60000000001</v>
      </c>
      <c r="AE34" s="1"/>
      <c r="AF34" s="1"/>
      <c r="AG34" s="1"/>
    </row>
    <row r="35" spans="1:33" x14ac:dyDescent="0.35">
      <c r="A35" s="2" t="s">
        <v>4</v>
      </c>
      <c r="B35" s="2" t="s">
        <v>79</v>
      </c>
      <c r="D35" s="2" t="s">
        <v>80</v>
      </c>
      <c r="E35" t="s">
        <v>81</v>
      </c>
      <c r="F35" s="4">
        <v>8680</v>
      </c>
      <c r="G35" s="101">
        <f t="shared" si="0"/>
        <v>8680</v>
      </c>
      <c r="H35" s="5"/>
      <c r="I35" s="5"/>
      <c r="J35" s="5">
        <v>8680</v>
      </c>
      <c r="K35" s="6"/>
      <c r="L35" s="6"/>
      <c r="M35" s="6">
        <v>8680</v>
      </c>
      <c r="N35" s="6"/>
      <c r="O35" s="6"/>
      <c r="P35" s="6"/>
      <c r="Q35" s="7"/>
      <c r="R35" s="7"/>
      <c r="S35" s="7"/>
      <c r="T35" s="23"/>
      <c r="U35" s="7"/>
      <c r="V35" s="7"/>
      <c r="X35" s="9"/>
      <c r="Y35" s="9"/>
      <c r="Z35" s="9"/>
      <c r="AB35" s="8"/>
      <c r="AC35" s="8"/>
      <c r="AD35" s="8"/>
      <c r="AE35" s="1"/>
      <c r="AF35" s="1"/>
      <c r="AG35" s="1"/>
    </row>
    <row r="36" spans="1:33" x14ac:dyDescent="0.35">
      <c r="A36" s="2" t="s">
        <v>4</v>
      </c>
      <c r="B36" s="2" t="s">
        <v>82</v>
      </c>
      <c r="D36" s="2" t="s">
        <v>83</v>
      </c>
      <c r="E36" t="s">
        <v>388</v>
      </c>
      <c r="F36" s="4">
        <v>36890</v>
      </c>
      <c r="G36" s="101">
        <f t="shared" si="0"/>
        <v>36890</v>
      </c>
      <c r="H36" s="5"/>
      <c r="I36" s="5"/>
      <c r="J36" s="5">
        <v>36890</v>
      </c>
      <c r="K36" s="6"/>
      <c r="L36" s="6"/>
      <c r="M36" s="6">
        <v>21080</v>
      </c>
      <c r="N36" s="6"/>
      <c r="O36" s="6"/>
      <c r="P36" s="6">
        <v>15810</v>
      </c>
      <c r="Q36" s="7"/>
      <c r="R36" s="7"/>
      <c r="S36" s="7"/>
      <c r="T36" s="23"/>
      <c r="U36" s="7"/>
      <c r="V36" s="7"/>
      <c r="X36" s="9"/>
      <c r="Y36" s="9"/>
      <c r="Z36" s="9">
        <v>15860</v>
      </c>
      <c r="AB36" s="8"/>
      <c r="AC36" s="8"/>
      <c r="AD36" s="8"/>
      <c r="AE36" s="1"/>
      <c r="AF36" s="1"/>
      <c r="AG36" s="1"/>
    </row>
    <row r="37" spans="1:33" x14ac:dyDescent="0.35">
      <c r="A37" s="2" t="s">
        <v>4</v>
      </c>
      <c r="B37" s="2" t="s">
        <v>82</v>
      </c>
      <c r="D37" s="2" t="s">
        <v>85</v>
      </c>
      <c r="E37" t="s">
        <v>389</v>
      </c>
      <c r="F37" s="4">
        <v>31829.05</v>
      </c>
      <c r="G37" s="101">
        <f t="shared" si="0"/>
        <v>31000</v>
      </c>
      <c r="H37" s="5"/>
      <c r="I37" s="5"/>
      <c r="J37" s="5">
        <v>31000</v>
      </c>
      <c r="K37" s="6"/>
      <c r="L37" s="6"/>
      <c r="M37" s="6"/>
      <c r="N37" s="6"/>
      <c r="O37" s="6"/>
      <c r="P37" s="6">
        <v>31000</v>
      </c>
      <c r="Q37" s="7"/>
      <c r="R37" s="7"/>
      <c r="S37" s="7"/>
      <c r="T37" s="23"/>
      <c r="U37" s="7"/>
      <c r="V37" s="7">
        <v>829.05</v>
      </c>
      <c r="X37" s="9"/>
      <c r="Y37" s="9"/>
      <c r="Z37" s="9">
        <v>30500</v>
      </c>
      <c r="AB37" s="8"/>
      <c r="AC37" s="8"/>
      <c r="AD37" s="8"/>
      <c r="AE37" s="1"/>
      <c r="AF37" s="1"/>
      <c r="AG37" s="1"/>
    </row>
    <row r="38" spans="1:33" x14ac:dyDescent="0.35">
      <c r="A38" s="2" t="s">
        <v>4</v>
      </c>
      <c r="B38" s="2" t="s">
        <v>82</v>
      </c>
      <c r="C38" t="s">
        <v>250</v>
      </c>
      <c r="D38" s="2" t="s">
        <v>87</v>
      </c>
      <c r="E38" t="s">
        <v>387</v>
      </c>
      <c r="F38" s="4">
        <v>73684</v>
      </c>
      <c r="G38" s="101">
        <f>J38</f>
        <v>73684</v>
      </c>
      <c r="H38" s="5"/>
      <c r="I38" s="5"/>
      <c r="J38" s="5">
        <f>M38+P38</f>
        <v>73684</v>
      </c>
      <c r="K38" s="6"/>
      <c r="L38" s="6"/>
      <c r="M38" s="6">
        <f>73684-P38</f>
        <v>11684</v>
      </c>
      <c r="N38" s="6"/>
      <c r="O38" s="6"/>
      <c r="P38" s="6">
        <v>62000</v>
      </c>
      <c r="Q38" s="7"/>
      <c r="R38" s="7"/>
      <c r="S38" s="7"/>
      <c r="T38" s="23"/>
      <c r="U38" s="7"/>
      <c r="V38" s="7"/>
      <c r="X38" s="9"/>
      <c r="Y38" s="9"/>
      <c r="Z38" s="9"/>
      <c r="AB38" s="8"/>
      <c r="AC38" s="8"/>
      <c r="AD38" s="8"/>
      <c r="AE38" s="1"/>
      <c r="AF38" s="1"/>
      <c r="AG38" s="1"/>
    </row>
    <row r="39" spans="1:33" x14ac:dyDescent="0.35">
      <c r="A39" s="2" t="s">
        <v>4</v>
      </c>
      <c r="B39" s="2" t="s">
        <v>82</v>
      </c>
      <c r="C39" t="s">
        <v>250</v>
      </c>
      <c r="D39" s="2" t="s">
        <v>385</v>
      </c>
      <c r="E39" t="s">
        <v>386</v>
      </c>
      <c r="F39" s="4">
        <v>143857.35999999999</v>
      </c>
      <c r="G39" s="101">
        <f>H39</f>
        <v>143857.35999999999</v>
      </c>
      <c r="H39" s="5">
        <f>K39</f>
        <v>143857.35999999999</v>
      </c>
      <c r="I39" s="5"/>
      <c r="J39" s="5"/>
      <c r="K39" s="6">
        <v>143857.35999999999</v>
      </c>
      <c r="L39" s="6"/>
      <c r="M39" s="6"/>
      <c r="N39" s="6"/>
      <c r="O39" s="6"/>
      <c r="P39" s="6"/>
      <c r="Q39" s="7"/>
      <c r="R39" s="7"/>
      <c r="S39" s="7"/>
      <c r="T39" s="23"/>
      <c r="U39" s="7"/>
      <c r="V39" s="7"/>
      <c r="X39" s="9"/>
      <c r="Y39" s="9"/>
      <c r="Z39" s="9"/>
      <c r="AB39" s="8"/>
      <c r="AC39" s="8"/>
      <c r="AD39" s="8"/>
      <c r="AE39" s="1"/>
      <c r="AF39" s="1"/>
      <c r="AG39" s="1"/>
    </row>
    <row r="40" spans="1:33" x14ac:dyDescent="0.35">
      <c r="A40" s="2" t="s">
        <v>4</v>
      </c>
      <c r="B40" s="2" t="s">
        <v>82</v>
      </c>
      <c r="D40" s="2" t="s">
        <v>87</v>
      </c>
      <c r="E40" t="s">
        <v>387</v>
      </c>
      <c r="F40" s="4">
        <v>716</v>
      </c>
      <c r="G40" s="101">
        <f t="shared" si="0"/>
        <v>716</v>
      </c>
      <c r="H40" s="5"/>
      <c r="I40" s="5"/>
      <c r="J40" s="5">
        <f>M40</f>
        <v>716</v>
      </c>
      <c r="K40" s="6"/>
      <c r="L40" s="6"/>
      <c r="M40" s="6">
        <f>12400-M38</f>
        <v>716</v>
      </c>
      <c r="N40" s="6"/>
      <c r="O40" s="6"/>
      <c r="P40" s="6"/>
      <c r="Q40" s="7"/>
      <c r="R40" s="7"/>
      <c r="S40" s="7"/>
      <c r="T40" s="23"/>
      <c r="U40" s="7"/>
      <c r="V40" s="7"/>
      <c r="X40" s="9"/>
      <c r="Y40" s="9"/>
      <c r="Z40" s="9">
        <v>61000</v>
      </c>
      <c r="AB40" s="8"/>
      <c r="AC40" s="8"/>
      <c r="AD40" s="8"/>
      <c r="AE40" s="1"/>
      <c r="AF40" s="1"/>
      <c r="AG40" s="1"/>
    </row>
    <row r="41" spans="1:33" x14ac:dyDescent="0.35">
      <c r="A41" s="2" t="s">
        <v>4</v>
      </c>
      <c r="B41" s="2" t="s">
        <v>89</v>
      </c>
      <c r="D41" s="2" t="s">
        <v>90</v>
      </c>
      <c r="E41" t="s">
        <v>91</v>
      </c>
      <c r="F41" s="4">
        <v>110527.86</v>
      </c>
      <c r="G41" s="101">
        <f t="shared" si="0"/>
        <v>74400</v>
      </c>
      <c r="H41" s="5"/>
      <c r="I41" s="5"/>
      <c r="J41" s="5">
        <v>74400</v>
      </c>
      <c r="K41" s="6"/>
      <c r="L41" s="6"/>
      <c r="M41" s="6">
        <v>74400</v>
      </c>
      <c r="N41" s="6"/>
      <c r="O41" s="6"/>
      <c r="P41" s="6"/>
      <c r="Q41" s="7"/>
      <c r="R41" s="7"/>
      <c r="S41" s="7"/>
      <c r="T41" s="23"/>
      <c r="U41" s="7"/>
      <c r="V41" s="7">
        <v>36127.86</v>
      </c>
      <c r="X41" s="9"/>
      <c r="Y41" s="9"/>
      <c r="Z41" s="9">
        <v>73200</v>
      </c>
      <c r="AB41" s="8"/>
      <c r="AC41" s="8"/>
      <c r="AD41" s="8"/>
      <c r="AE41" s="1"/>
      <c r="AF41" s="1"/>
      <c r="AG41" s="1"/>
    </row>
    <row r="42" spans="1:33" x14ac:dyDescent="0.35">
      <c r="A42" s="2" t="s">
        <v>4</v>
      </c>
      <c r="B42" s="2" t="s">
        <v>89</v>
      </c>
      <c r="D42" s="2" t="s">
        <v>94</v>
      </c>
      <c r="E42" t="s">
        <v>95</v>
      </c>
      <c r="F42" s="4">
        <v>62000</v>
      </c>
      <c r="G42" s="101">
        <f t="shared" si="0"/>
        <v>62000</v>
      </c>
      <c r="H42" s="5"/>
      <c r="I42" s="5"/>
      <c r="J42" s="5">
        <v>62000</v>
      </c>
      <c r="K42" s="6"/>
      <c r="L42" s="6"/>
      <c r="M42" s="6"/>
      <c r="N42" s="6"/>
      <c r="O42" s="6"/>
      <c r="P42" s="6">
        <v>62000</v>
      </c>
      <c r="Q42" s="7"/>
      <c r="R42" s="7"/>
      <c r="S42" s="7"/>
      <c r="T42" s="23"/>
      <c r="U42" s="7"/>
      <c r="V42" s="7"/>
      <c r="X42" s="9"/>
      <c r="Y42" s="9"/>
      <c r="Z42" s="9">
        <v>61000</v>
      </c>
      <c r="AB42" s="8"/>
      <c r="AC42" s="8"/>
      <c r="AD42" s="8"/>
      <c r="AE42" s="1"/>
      <c r="AF42" s="1"/>
      <c r="AG42" s="1"/>
    </row>
    <row r="43" spans="1:33" x14ac:dyDescent="0.35">
      <c r="A43" s="2" t="s">
        <v>4</v>
      </c>
      <c r="B43" s="2" t="s">
        <v>89</v>
      </c>
      <c r="D43" s="2" t="s">
        <v>98</v>
      </c>
      <c r="E43" t="s">
        <v>99</v>
      </c>
      <c r="F43" s="4">
        <v>120000</v>
      </c>
      <c r="G43" s="101">
        <f t="shared" si="0"/>
        <v>120000</v>
      </c>
      <c r="H43" s="5"/>
      <c r="I43" s="5">
        <v>120000</v>
      </c>
      <c r="J43" s="5"/>
      <c r="K43" s="6"/>
      <c r="L43" s="6">
        <v>120000</v>
      </c>
      <c r="M43" s="6"/>
      <c r="N43" s="6"/>
      <c r="O43" s="6"/>
      <c r="P43" s="6"/>
      <c r="Q43" s="7"/>
      <c r="R43" s="7"/>
      <c r="S43" s="7"/>
      <c r="T43" s="23"/>
      <c r="U43" s="7"/>
      <c r="V43" s="7"/>
      <c r="X43" s="9"/>
      <c r="Y43" s="9"/>
      <c r="Z43" s="9"/>
      <c r="AB43" s="8"/>
      <c r="AC43" s="8"/>
      <c r="AD43" s="8"/>
      <c r="AE43" s="1"/>
      <c r="AF43" s="1"/>
      <c r="AG43" s="1"/>
    </row>
    <row r="44" spans="1:33" x14ac:dyDescent="0.35">
      <c r="A44" s="2" t="s">
        <v>4</v>
      </c>
      <c r="B44" s="2" t="s">
        <v>89</v>
      </c>
      <c r="D44" s="2" t="s">
        <v>100</v>
      </c>
      <c r="E44" t="s">
        <v>101</v>
      </c>
      <c r="F44" s="4">
        <v>62000</v>
      </c>
      <c r="G44" s="101">
        <f t="shared" si="0"/>
        <v>62000</v>
      </c>
      <c r="H44" s="5">
        <v>62000</v>
      </c>
      <c r="I44" s="5"/>
      <c r="J44" s="5"/>
      <c r="K44" s="6">
        <v>62000</v>
      </c>
      <c r="L44" s="6"/>
      <c r="M44" s="6"/>
      <c r="N44" s="6"/>
      <c r="O44" s="6"/>
      <c r="P44" s="6"/>
      <c r="Q44" s="7"/>
      <c r="R44" s="7"/>
      <c r="S44" s="7"/>
      <c r="T44" s="23"/>
      <c r="U44" s="7"/>
      <c r="V44" s="7"/>
      <c r="X44" s="9"/>
      <c r="Y44" s="9"/>
      <c r="Z44" s="9"/>
      <c r="AB44" s="8"/>
      <c r="AC44" s="8"/>
      <c r="AD44" s="8"/>
      <c r="AE44" s="1"/>
      <c r="AF44" s="1"/>
      <c r="AG44" s="1"/>
    </row>
    <row r="45" spans="1:33" x14ac:dyDescent="0.35">
      <c r="A45" s="2" t="s">
        <v>4</v>
      </c>
      <c r="B45" s="2" t="s">
        <v>89</v>
      </c>
      <c r="C45" t="s">
        <v>27</v>
      </c>
      <c r="D45" s="2" t="s">
        <v>354</v>
      </c>
      <c r="E45" t="s">
        <v>102</v>
      </c>
      <c r="F45" s="4">
        <v>1240000</v>
      </c>
      <c r="G45" s="101">
        <f t="shared" si="0"/>
        <v>1240000</v>
      </c>
      <c r="H45" s="5">
        <v>1240000</v>
      </c>
      <c r="I45" s="5"/>
      <c r="J45" s="5"/>
      <c r="K45" s="6">
        <v>1240000</v>
      </c>
      <c r="L45" s="6"/>
      <c r="M45" s="6"/>
      <c r="N45" s="6"/>
      <c r="O45" s="6"/>
      <c r="P45" s="6"/>
      <c r="Q45" s="7"/>
      <c r="R45" s="7"/>
      <c r="S45" s="7"/>
      <c r="T45" s="23"/>
      <c r="U45" s="7"/>
      <c r="V45" s="7"/>
      <c r="X45" s="9"/>
      <c r="Y45" s="9"/>
      <c r="Z45" s="9"/>
      <c r="AB45" s="8"/>
      <c r="AC45" s="8"/>
      <c r="AD45" s="8"/>
      <c r="AE45" s="1"/>
      <c r="AF45" s="1"/>
      <c r="AG45" s="1"/>
    </row>
    <row r="46" spans="1:33" x14ac:dyDescent="0.35">
      <c r="A46" s="3" t="s">
        <v>4</v>
      </c>
      <c r="B46" s="2" t="s">
        <v>89</v>
      </c>
      <c r="C46" t="s">
        <v>27</v>
      </c>
      <c r="D46" s="2" t="s">
        <v>103</v>
      </c>
      <c r="E46" t="s">
        <v>104</v>
      </c>
      <c r="F46" s="4">
        <v>248000</v>
      </c>
      <c r="G46" s="101">
        <f t="shared" si="0"/>
        <v>248000</v>
      </c>
      <c r="H46" s="5"/>
      <c r="I46" s="5"/>
      <c r="J46" s="5">
        <v>248000</v>
      </c>
      <c r="K46" s="6"/>
      <c r="L46" s="6"/>
      <c r="M46" s="6">
        <v>248000</v>
      </c>
      <c r="N46" s="6"/>
      <c r="O46" s="6"/>
      <c r="P46" s="6"/>
      <c r="Q46" s="7"/>
      <c r="R46" s="7"/>
      <c r="S46" s="7"/>
      <c r="T46" s="23"/>
      <c r="U46" s="7"/>
      <c r="V46" s="7"/>
      <c r="X46" s="9"/>
      <c r="Y46" s="9"/>
      <c r="Z46" s="9"/>
      <c r="AB46" s="8"/>
      <c r="AC46" s="8"/>
      <c r="AD46" s="8"/>
      <c r="AE46" s="1"/>
      <c r="AF46" s="1"/>
      <c r="AG46" s="1"/>
    </row>
    <row r="47" spans="1:33" x14ac:dyDescent="0.35">
      <c r="A47" s="103" t="s">
        <v>4</v>
      </c>
      <c r="B47" s="103" t="s">
        <v>89</v>
      </c>
      <c r="C47" s="103"/>
      <c r="D47" s="103" t="s">
        <v>390</v>
      </c>
      <c r="E47" t="s">
        <v>121</v>
      </c>
      <c r="F47" s="4">
        <v>52737.120000000003</v>
      </c>
      <c r="G47" s="101"/>
      <c r="H47" s="5"/>
      <c r="I47" s="5"/>
      <c r="J47" s="5"/>
      <c r="K47" s="6"/>
      <c r="L47" s="6"/>
      <c r="M47" s="6"/>
      <c r="N47" s="6"/>
      <c r="O47" s="6"/>
      <c r="P47" s="6"/>
      <c r="Q47" s="7"/>
      <c r="R47" s="7"/>
      <c r="S47" s="7">
        <v>52737.120000000003</v>
      </c>
      <c r="T47" s="23"/>
      <c r="U47" s="7"/>
      <c r="V47" s="7"/>
      <c r="X47" s="9"/>
      <c r="Y47" s="9"/>
      <c r="Z47" s="9"/>
      <c r="AB47" s="8"/>
      <c r="AC47" s="8"/>
      <c r="AD47" s="8">
        <v>96000</v>
      </c>
      <c r="AE47" s="1"/>
      <c r="AF47" s="1"/>
      <c r="AG47" s="1"/>
    </row>
    <row r="48" spans="1:33" x14ac:dyDescent="0.35">
      <c r="A48" s="103" t="s">
        <v>4</v>
      </c>
      <c r="B48" s="103" t="s">
        <v>5</v>
      </c>
      <c r="C48" s="103"/>
      <c r="D48" s="103" t="s">
        <v>391</v>
      </c>
      <c r="E48" t="s">
        <v>295</v>
      </c>
      <c r="F48" s="4">
        <v>710.79</v>
      </c>
      <c r="G48" s="101"/>
      <c r="H48" s="5"/>
      <c r="I48" s="5"/>
      <c r="J48" s="5"/>
      <c r="K48" s="6"/>
      <c r="L48" s="6"/>
      <c r="M48" s="6"/>
      <c r="N48" s="6"/>
      <c r="O48" s="6"/>
      <c r="P48" s="6"/>
      <c r="Q48" s="7"/>
      <c r="R48" s="7"/>
      <c r="S48" s="7">
        <v>710.79</v>
      </c>
      <c r="T48" s="23"/>
      <c r="U48" s="7"/>
      <c r="V48" s="7"/>
      <c r="X48" s="9"/>
      <c r="Y48" s="9"/>
      <c r="Z48" s="9"/>
      <c r="AB48" s="8"/>
      <c r="AC48" s="8"/>
      <c r="AD48" s="8">
        <v>186000</v>
      </c>
      <c r="AE48" s="1"/>
      <c r="AF48" s="1"/>
      <c r="AG48" s="1"/>
    </row>
    <row r="49" spans="1:33" x14ac:dyDescent="0.35">
      <c r="A49" s="2" t="s">
        <v>27</v>
      </c>
      <c r="B49" s="2" t="s">
        <v>112</v>
      </c>
      <c r="D49" s="2" t="s">
        <v>113</v>
      </c>
      <c r="E49" t="s">
        <v>377</v>
      </c>
      <c r="F49" s="4">
        <v>294617.8</v>
      </c>
      <c r="G49" s="101"/>
      <c r="H49" s="5"/>
      <c r="I49" s="5"/>
      <c r="J49" s="5"/>
      <c r="K49" s="6"/>
      <c r="L49" s="6"/>
      <c r="M49" s="6"/>
      <c r="N49" s="6"/>
      <c r="O49" s="6"/>
      <c r="P49" s="6"/>
      <c r="Q49" s="7"/>
      <c r="R49" s="7"/>
      <c r="S49" s="7"/>
      <c r="T49" s="23">
        <v>294617.8</v>
      </c>
      <c r="U49" s="7"/>
      <c r="V49" s="7"/>
      <c r="X49" s="9">
        <v>294617.8</v>
      </c>
      <c r="Y49" s="9"/>
      <c r="Z49" s="9"/>
      <c r="AB49" s="8">
        <v>216801.59999999998</v>
      </c>
      <c r="AC49" s="8"/>
      <c r="AD49" s="8"/>
      <c r="AE49" s="1"/>
      <c r="AF49" s="1"/>
      <c r="AG49" s="1"/>
    </row>
    <row r="50" spans="1:33" x14ac:dyDescent="0.35">
      <c r="A50" s="2" t="s">
        <v>27</v>
      </c>
      <c r="B50" s="2" t="s">
        <v>112</v>
      </c>
      <c r="D50" s="2" t="s">
        <v>375</v>
      </c>
      <c r="E50" t="s">
        <v>378</v>
      </c>
      <c r="F50" s="4">
        <f>349989.705-8537</f>
        <v>341452.70500000002</v>
      </c>
      <c r="G50" s="101">
        <f>H50</f>
        <v>8537.0200000000186</v>
      </c>
      <c r="H50" s="5">
        <f>K50</f>
        <v>8537.0200000000186</v>
      </c>
      <c r="I50" s="5"/>
      <c r="J50" s="5"/>
      <c r="K50" s="6">
        <v>8537.0200000000186</v>
      </c>
      <c r="L50" s="6"/>
      <c r="M50" s="6"/>
      <c r="N50" s="6"/>
      <c r="O50" s="6"/>
      <c r="P50" s="6"/>
      <c r="Q50" s="7"/>
      <c r="R50" s="7"/>
      <c r="S50" s="7"/>
      <c r="T50" s="23">
        <v>341452.685</v>
      </c>
      <c r="U50" s="7"/>
      <c r="V50" s="7"/>
      <c r="X50" s="9">
        <v>341452.38</v>
      </c>
      <c r="Y50" s="9"/>
      <c r="Z50" s="9"/>
      <c r="AB50" s="8">
        <v>251265.59999999998</v>
      </c>
      <c r="AC50" s="8"/>
      <c r="AD50" s="8"/>
      <c r="AE50" s="1"/>
      <c r="AF50" s="1"/>
      <c r="AG50" s="1"/>
    </row>
    <row r="51" spans="1:33" x14ac:dyDescent="0.35">
      <c r="A51" s="2" t="s">
        <v>27</v>
      </c>
      <c r="B51" s="2" t="s">
        <v>112</v>
      </c>
      <c r="D51" s="2" t="s">
        <v>113</v>
      </c>
      <c r="E51" t="s">
        <v>311</v>
      </c>
      <c r="F51" s="4">
        <v>119622.22</v>
      </c>
      <c r="G51" s="101"/>
      <c r="H51" s="5"/>
      <c r="I51" s="5"/>
      <c r="J51" s="5"/>
      <c r="K51" s="6"/>
      <c r="L51" s="6"/>
      <c r="M51" s="6"/>
      <c r="N51" s="6"/>
      <c r="O51" s="6"/>
      <c r="P51" s="6"/>
      <c r="Q51" s="7">
        <v>119622.22</v>
      </c>
      <c r="R51" s="7"/>
      <c r="S51" s="7"/>
      <c r="T51" s="23"/>
      <c r="U51" s="7"/>
      <c r="V51" s="7"/>
      <c r="X51" s="9">
        <v>422418.89999999991</v>
      </c>
      <c r="Y51" s="9"/>
      <c r="Z51" s="9"/>
      <c r="AB51" s="8">
        <v>310846.8</v>
      </c>
      <c r="AC51" s="8"/>
      <c r="AD51" s="8"/>
      <c r="AE51" s="1"/>
      <c r="AF51" s="1"/>
      <c r="AG51" s="1"/>
    </row>
    <row r="52" spans="1:33" x14ac:dyDescent="0.35">
      <c r="A52" s="2" t="s">
        <v>27</v>
      </c>
      <c r="B52" s="2" t="s">
        <v>112</v>
      </c>
      <c r="D52" s="2" t="s">
        <v>335</v>
      </c>
      <c r="E52" t="s">
        <v>311</v>
      </c>
      <c r="F52" s="4">
        <v>579510.98</v>
      </c>
      <c r="G52" s="101">
        <f t="shared" si="0"/>
        <v>0</v>
      </c>
      <c r="H52" s="5"/>
      <c r="I52" s="5"/>
      <c r="J52" s="5"/>
      <c r="K52" s="6"/>
      <c r="L52" s="6"/>
      <c r="M52" s="6"/>
      <c r="N52" s="6"/>
      <c r="O52" s="6"/>
      <c r="P52" s="6"/>
      <c r="Q52" s="7"/>
      <c r="R52" s="7"/>
      <c r="S52" s="7"/>
      <c r="T52" s="23">
        <v>579510.98</v>
      </c>
      <c r="U52" s="7"/>
      <c r="V52" s="7"/>
      <c r="X52" s="9">
        <v>164549.94</v>
      </c>
      <c r="Y52" s="9"/>
      <c r="Z52" s="9"/>
      <c r="AB52" s="8">
        <v>121087.2</v>
      </c>
      <c r="AC52" s="8"/>
      <c r="AD52" s="8"/>
      <c r="AE52" s="1"/>
      <c r="AF52" s="1"/>
      <c r="AG52" s="1"/>
    </row>
    <row r="53" spans="1:33" x14ac:dyDescent="0.35">
      <c r="A53" s="2" t="s">
        <v>27</v>
      </c>
      <c r="B53" s="2" t="s">
        <v>112</v>
      </c>
      <c r="D53" s="2" t="s">
        <v>114</v>
      </c>
      <c r="E53" t="s">
        <v>115</v>
      </c>
      <c r="F53" s="4">
        <v>248000</v>
      </c>
      <c r="G53" s="101">
        <f t="shared" si="0"/>
        <v>248000</v>
      </c>
      <c r="H53" s="5">
        <v>248000</v>
      </c>
      <c r="I53" s="5"/>
      <c r="J53" s="5"/>
      <c r="K53" s="6"/>
      <c r="L53" s="6"/>
      <c r="M53" s="6"/>
      <c r="N53" s="6">
        <v>248000</v>
      </c>
      <c r="O53" s="6"/>
      <c r="P53" s="6"/>
      <c r="Q53" s="7"/>
      <c r="R53" s="7"/>
      <c r="S53" s="7"/>
      <c r="T53" s="23"/>
      <c r="U53" s="7"/>
      <c r="V53" s="7"/>
      <c r="X53" s="9">
        <v>244000</v>
      </c>
      <c r="Y53" s="9"/>
      <c r="Z53" s="9"/>
      <c r="AB53" s="8"/>
      <c r="AC53" s="8"/>
      <c r="AD53" s="8"/>
      <c r="AE53" s="1"/>
      <c r="AF53" s="1"/>
      <c r="AG53" s="1"/>
    </row>
    <row r="54" spans="1:33" x14ac:dyDescent="0.35">
      <c r="A54" s="2" t="s">
        <v>27</v>
      </c>
      <c r="B54" s="2" t="s">
        <v>112</v>
      </c>
      <c r="D54" s="2" t="s">
        <v>116</v>
      </c>
      <c r="E54" t="s">
        <v>117</v>
      </c>
      <c r="F54" s="4">
        <v>100023</v>
      </c>
      <c r="G54" s="101">
        <f t="shared" ref="G54:G88" si="3">H54+I54+J54</f>
        <v>65569</v>
      </c>
      <c r="H54" s="5"/>
      <c r="I54" s="5">
        <v>65569</v>
      </c>
      <c r="J54" s="5"/>
      <c r="K54" s="6"/>
      <c r="L54" s="6">
        <v>50023</v>
      </c>
      <c r="M54" s="6"/>
      <c r="N54" s="6"/>
      <c r="O54" s="6">
        <v>15546</v>
      </c>
      <c r="P54" s="6"/>
      <c r="Q54" s="7"/>
      <c r="R54" s="7"/>
      <c r="S54" s="7"/>
      <c r="T54" s="23"/>
      <c r="U54" s="7">
        <v>34454</v>
      </c>
      <c r="V54" s="7"/>
      <c r="X54" s="9"/>
      <c r="Y54" s="9">
        <v>50000</v>
      </c>
      <c r="Z54" s="9"/>
      <c r="AB54" s="8"/>
      <c r="AC54" s="8">
        <v>54189</v>
      </c>
      <c r="AD54" s="8"/>
      <c r="AE54" s="1"/>
      <c r="AF54" s="1"/>
      <c r="AG54" s="1"/>
    </row>
    <row r="55" spans="1:33" x14ac:dyDescent="0.35">
      <c r="A55" s="2" t="s">
        <v>27</v>
      </c>
      <c r="B55" s="2" t="s">
        <v>112</v>
      </c>
      <c r="D55" s="2" t="s">
        <v>118</v>
      </c>
      <c r="E55" t="s">
        <v>119</v>
      </c>
      <c r="F55" s="4">
        <v>81398</v>
      </c>
      <c r="G55" s="101">
        <f t="shared" si="3"/>
        <v>60000</v>
      </c>
      <c r="H55" s="5"/>
      <c r="I55" s="5">
        <v>60000</v>
      </c>
      <c r="J55" s="5"/>
      <c r="K55" s="6"/>
      <c r="L55" s="6">
        <v>21398</v>
      </c>
      <c r="M55" s="6"/>
      <c r="N55" s="6"/>
      <c r="O55" s="6">
        <v>38602</v>
      </c>
      <c r="P55" s="6"/>
      <c r="Q55" s="7"/>
      <c r="R55" s="7"/>
      <c r="S55" s="7"/>
      <c r="T55" s="23"/>
      <c r="U55" s="7">
        <v>21398</v>
      </c>
      <c r="V55" s="7"/>
      <c r="X55" s="9"/>
      <c r="Y55" s="9">
        <v>60000</v>
      </c>
      <c r="Z55" s="9"/>
      <c r="AB55" s="8"/>
      <c r="AC55" s="8">
        <v>45158</v>
      </c>
      <c r="AD55" s="8"/>
      <c r="AE55" s="1"/>
      <c r="AF55" s="1"/>
      <c r="AG55" s="1"/>
    </row>
    <row r="56" spans="1:33" x14ac:dyDescent="0.35">
      <c r="A56" s="2" t="s">
        <v>27</v>
      </c>
      <c r="B56" s="2" t="s">
        <v>112</v>
      </c>
      <c r="D56" s="2" t="s">
        <v>120</v>
      </c>
      <c r="E56" t="s">
        <v>121</v>
      </c>
      <c r="F56" s="4">
        <v>422904.48</v>
      </c>
      <c r="G56" s="101">
        <f t="shared" si="3"/>
        <v>422904.48</v>
      </c>
      <c r="H56" s="5">
        <v>323704.48</v>
      </c>
      <c r="I56" s="5"/>
      <c r="J56" s="5">
        <v>99200</v>
      </c>
      <c r="K56" s="6"/>
      <c r="L56" s="6"/>
      <c r="M56" s="6"/>
      <c r="N56" s="6">
        <v>323704.48</v>
      </c>
      <c r="O56" s="6"/>
      <c r="P56" s="6">
        <v>99200</v>
      </c>
      <c r="Q56" s="7"/>
      <c r="R56" s="7"/>
      <c r="S56" s="7"/>
      <c r="T56" s="23"/>
      <c r="U56" s="7"/>
      <c r="V56" s="7"/>
      <c r="X56" s="9">
        <v>318483.44</v>
      </c>
      <c r="Y56" s="9"/>
      <c r="Z56" s="9">
        <v>97600</v>
      </c>
      <c r="AB56" s="8"/>
      <c r="AC56" s="8"/>
      <c r="AD56" s="8"/>
      <c r="AE56" s="1"/>
      <c r="AF56" s="1"/>
      <c r="AG56" s="1"/>
    </row>
    <row r="57" spans="1:33" x14ac:dyDescent="0.35">
      <c r="A57" s="2" t="s">
        <v>27</v>
      </c>
      <c r="B57" s="2" t="s">
        <v>122</v>
      </c>
      <c r="D57" s="2" t="s">
        <v>125</v>
      </c>
      <c r="E57" t="s">
        <v>126</v>
      </c>
      <c r="F57" s="4">
        <v>519544.58</v>
      </c>
      <c r="G57" s="101">
        <f t="shared" si="3"/>
        <v>148800</v>
      </c>
      <c r="H57" s="5">
        <v>86800</v>
      </c>
      <c r="I57" s="5"/>
      <c r="J57" s="5">
        <v>62000</v>
      </c>
      <c r="K57" s="6">
        <v>11022.36</v>
      </c>
      <c r="L57" s="6"/>
      <c r="M57" s="6">
        <v>62000</v>
      </c>
      <c r="N57" s="6">
        <v>75777.64</v>
      </c>
      <c r="O57" s="6"/>
      <c r="P57" s="6"/>
      <c r="Q57" s="7"/>
      <c r="R57" s="7"/>
      <c r="S57" s="7"/>
      <c r="T57" s="23">
        <v>370744.58</v>
      </c>
      <c r="U57" s="7"/>
      <c r="V57" s="7"/>
      <c r="X57" s="9">
        <v>445300</v>
      </c>
      <c r="Y57" s="9"/>
      <c r="Z57" s="9"/>
      <c r="AB57" s="8">
        <v>162000</v>
      </c>
      <c r="AC57" s="8"/>
      <c r="AD57" s="8"/>
      <c r="AE57" s="1"/>
      <c r="AF57" s="1"/>
      <c r="AG57" s="1"/>
    </row>
    <row r="58" spans="1:33" x14ac:dyDescent="0.35">
      <c r="A58" s="2" t="s">
        <v>27</v>
      </c>
      <c r="B58" s="2" t="s">
        <v>122</v>
      </c>
      <c r="D58" s="2" t="s">
        <v>127</v>
      </c>
      <c r="E58" t="s">
        <v>128</v>
      </c>
      <c r="F58" s="4">
        <v>463885.58</v>
      </c>
      <c r="G58" s="101">
        <f t="shared" si="3"/>
        <v>108473.96</v>
      </c>
      <c r="H58" s="5">
        <v>108473.96</v>
      </c>
      <c r="I58" s="5"/>
      <c r="J58" s="5"/>
      <c r="K58" s="6"/>
      <c r="L58" s="6"/>
      <c r="M58" s="6"/>
      <c r="N58" s="6">
        <v>108473.96</v>
      </c>
      <c r="O58" s="6"/>
      <c r="P58" s="6"/>
      <c r="Q58" s="7"/>
      <c r="R58" s="7"/>
      <c r="S58" s="7"/>
      <c r="T58" s="23">
        <v>355411.62</v>
      </c>
      <c r="U58" s="7"/>
      <c r="V58" s="7"/>
      <c r="X58" s="9">
        <v>462136</v>
      </c>
      <c r="Y58" s="9"/>
      <c r="Z58" s="9"/>
      <c r="AB58" s="8">
        <v>190080</v>
      </c>
      <c r="AC58" s="8"/>
      <c r="AD58" s="8"/>
      <c r="AE58" s="1"/>
      <c r="AF58" s="1"/>
      <c r="AG58" s="1"/>
    </row>
    <row r="59" spans="1:33" x14ac:dyDescent="0.35">
      <c r="A59" s="2" t="s">
        <v>27</v>
      </c>
      <c r="B59" s="2" t="s">
        <v>122</v>
      </c>
      <c r="D59" s="2" t="s">
        <v>368</v>
      </c>
      <c r="E59" t="s">
        <v>129</v>
      </c>
      <c r="F59" s="4">
        <v>617365.52</v>
      </c>
      <c r="G59" s="101">
        <f t="shared" si="3"/>
        <v>267562.23999999999</v>
      </c>
      <c r="H59" s="5">
        <v>267562.23999999999</v>
      </c>
      <c r="I59" s="5"/>
      <c r="J59" s="5"/>
      <c r="K59" s="6">
        <v>62000</v>
      </c>
      <c r="L59" s="6"/>
      <c r="M59" s="6"/>
      <c r="N59" s="6">
        <v>205562.23999999999</v>
      </c>
      <c r="O59" s="6"/>
      <c r="P59" s="6"/>
      <c r="Q59" s="7"/>
      <c r="R59" s="7"/>
      <c r="S59" s="7"/>
      <c r="T59" s="23">
        <v>349803.27999999997</v>
      </c>
      <c r="U59" s="7"/>
      <c r="V59" s="7"/>
      <c r="X59" s="9">
        <v>552050</v>
      </c>
      <c r="Y59" s="9"/>
      <c r="Z59" s="9"/>
      <c r="AB59" s="8">
        <v>105000</v>
      </c>
      <c r="AC59" s="8"/>
      <c r="AD59" s="8"/>
      <c r="AE59" s="1"/>
      <c r="AF59" s="1"/>
      <c r="AG59" s="1"/>
    </row>
    <row r="60" spans="1:33" x14ac:dyDescent="0.35">
      <c r="A60" s="2" t="s">
        <v>27</v>
      </c>
      <c r="B60" s="2" t="s">
        <v>122</v>
      </c>
      <c r="D60" s="2" t="s">
        <v>367</v>
      </c>
      <c r="E60" t="s">
        <v>130</v>
      </c>
      <c r="F60" s="4">
        <f>112545.36-3773</f>
        <v>108772.36</v>
      </c>
      <c r="G60" s="101">
        <f>H60+I60+J60</f>
        <v>58773</v>
      </c>
      <c r="H60" s="5"/>
      <c r="I60" s="5">
        <f>L60</f>
        <v>58773</v>
      </c>
      <c r="J60" s="5"/>
      <c r="K60" s="6"/>
      <c r="L60" s="6">
        <f>55000+3773</f>
        <v>58773</v>
      </c>
      <c r="M60" s="6"/>
      <c r="N60" s="6"/>
      <c r="O60" s="6"/>
      <c r="P60" s="6"/>
      <c r="Q60" s="7"/>
      <c r="R60" s="7"/>
      <c r="S60" s="7"/>
      <c r="T60" s="23"/>
      <c r="U60" s="7">
        <f>50000+3772.36</f>
        <v>53772.36</v>
      </c>
      <c r="V60" s="7"/>
      <c r="X60" s="9"/>
      <c r="Y60" s="9">
        <v>50000</v>
      </c>
      <c r="Z60" s="9"/>
      <c r="AB60" s="8"/>
      <c r="AC60" s="8">
        <v>52300</v>
      </c>
      <c r="AD60" s="8"/>
      <c r="AE60" s="1"/>
      <c r="AF60" s="1"/>
      <c r="AG60" s="1"/>
    </row>
    <row r="61" spans="1:33" x14ac:dyDescent="0.35">
      <c r="A61" s="2" t="s">
        <v>27</v>
      </c>
      <c r="B61" s="2" t="s">
        <v>122</v>
      </c>
      <c r="D61" s="2" t="s">
        <v>131</v>
      </c>
      <c r="E61" t="s">
        <v>132</v>
      </c>
      <c r="F61" s="4">
        <v>372000</v>
      </c>
      <c r="G61" s="101">
        <f t="shared" si="3"/>
        <v>372000</v>
      </c>
      <c r="H61" s="5">
        <v>372000</v>
      </c>
      <c r="I61" s="5"/>
      <c r="J61" s="5"/>
      <c r="K61" s="6"/>
      <c r="L61" s="6"/>
      <c r="M61" s="6"/>
      <c r="N61" s="6">
        <v>372000</v>
      </c>
      <c r="O61" s="6"/>
      <c r="P61" s="6"/>
      <c r="Q61" s="7"/>
      <c r="R61" s="7"/>
      <c r="S61" s="7"/>
      <c r="T61" s="23"/>
      <c r="U61" s="7"/>
      <c r="V61" s="7"/>
      <c r="X61" s="9">
        <v>610000</v>
      </c>
      <c r="Y61" s="9"/>
      <c r="Z61" s="9"/>
      <c r="AB61" s="8"/>
      <c r="AC61" s="8"/>
      <c r="AD61" s="8"/>
      <c r="AE61" s="1"/>
      <c r="AF61" s="1"/>
      <c r="AG61" s="1"/>
    </row>
    <row r="62" spans="1:33" x14ac:dyDescent="0.35">
      <c r="A62" s="2" t="s">
        <v>27</v>
      </c>
      <c r="B62" s="2" t="s">
        <v>122</v>
      </c>
      <c r="D62" s="2" t="s">
        <v>317</v>
      </c>
      <c r="E62" t="s">
        <v>133</v>
      </c>
      <c r="F62" s="4">
        <f>992543.74-496272</f>
        <v>496271.74</v>
      </c>
      <c r="G62" s="101">
        <f t="shared" si="3"/>
        <v>496271.74</v>
      </c>
      <c r="H62" s="5"/>
      <c r="I62" s="5"/>
      <c r="J62" s="5">
        <f>M62+P62</f>
        <v>496271.74</v>
      </c>
      <c r="K62" s="6"/>
      <c r="L62" s="6"/>
      <c r="M62" s="6">
        <f>50934-996</f>
        <v>49938</v>
      </c>
      <c r="N62" s="6"/>
      <c r="O62" s="6"/>
      <c r="P62" s="6">
        <v>446333.74</v>
      </c>
      <c r="Q62" s="7">
        <v>119731.2</v>
      </c>
      <c r="R62" s="7"/>
      <c r="S62" s="7"/>
      <c r="T62" s="23">
        <v>-121726.72</v>
      </c>
      <c r="U62" s="7"/>
      <c r="V62" s="7">
        <v>498267.52</v>
      </c>
      <c r="X62" s="9">
        <v>386333.74</v>
      </c>
      <c r="Y62" s="9"/>
      <c r="Z62" s="9"/>
      <c r="AB62" s="8">
        <v>60000</v>
      </c>
      <c r="AC62" s="8"/>
      <c r="AD62" s="8"/>
      <c r="AE62" s="1"/>
      <c r="AF62" s="1"/>
      <c r="AG62" s="1"/>
    </row>
    <row r="63" spans="1:33" x14ac:dyDescent="0.35">
      <c r="A63" s="2" t="s">
        <v>27</v>
      </c>
      <c r="B63" s="2" t="s">
        <v>122</v>
      </c>
      <c r="D63" s="2" t="s">
        <v>138</v>
      </c>
      <c r="E63" t="s">
        <v>139</v>
      </c>
      <c r="F63" s="4">
        <v>197853.41999999998</v>
      </c>
      <c r="G63" s="101">
        <f t="shared" si="3"/>
        <v>88040</v>
      </c>
      <c r="H63" s="5"/>
      <c r="I63" s="5"/>
      <c r="J63" s="5">
        <v>88040</v>
      </c>
      <c r="K63" s="6"/>
      <c r="L63" s="6"/>
      <c r="M63" s="6"/>
      <c r="N63" s="6"/>
      <c r="O63" s="6"/>
      <c r="P63" s="6">
        <v>88040</v>
      </c>
      <c r="Q63" s="7"/>
      <c r="R63" s="7"/>
      <c r="S63" s="7"/>
      <c r="T63" s="23"/>
      <c r="U63" s="7"/>
      <c r="V63" s="7">
        <v>109813.42</v>
      </c>
      <c r="X63" s="9"/>
      <c r="Y63" s="9"/>
      <c r="Z63" s="9">
        <v>202520</v>
      </c>
      <c r="AB63" s="8"/>
      <c r="AC63" s="8"/>
      <c r="AD63" s="8"/>
      <c r="AE63" s="1"/>
      <c r="AF63" s="1"/>
      <c r="AG63" s="1"/>
    </row>
    <row r="64" spans="1:33" x14ac:dyDescent="0.35">
      <c r="A64" s="2" t="s">
        <v>27</v>
      </c>
      <c r="B64" s="2" t="s">
        <v>122</v>
      </c>
      <c r="D64" s="2" t="s">
        <v>140</v>
      </c>
      <c r="E64" t="s">
        <v>141</v>
      </c>
      <c r="F64" s="4">
        <v>93000</v>
      </c>
      <c r="G64" s="101">
        <f t="shared" si="3"/>
        <v>93000</v>
      </c>
      <c r="H64" s="5"/>
      <c r="I64" s="5"/>
      <c r="J64" s="5">
        <v>93000</v>
      </c>
      <c r="K64" s="6"/>
      <c r="L64" s="6"/>
      <c r="M64" s="6">
        <v>93000</v>
      </c>
      <c r="N64" s="6"/>
      <c r="O64" s="6"/>
      <c r="P64" s="6"/>
      <c r="Q64" s="7"/>
      <c r="R64" s="7"/>
      <c r="S64" s="7"/>
      <c r="T64" s="23"/>
      <c r="U64" s="7"/>
      <c r="V64" s="7"/>
      <c r="X64" s="9"/>
      <c r="Y64" s="9"/>
      <c r="Z64" s="9"/>
      <c r="AB64" s="8"/>
      <c r="AC64" s="8"/>
      <c r="AD64" s="8"/>
      <c r="AE64" s="1"/>
      <c r="AF64" s="1"/>
      <c r="AG64" s="1"/>
    </row>
    <row r="65" spans="1:33" x14ac:dyDescent="0.35">
      <c r="A65" s="2" t="s">
        <v>27</v>
      </c>
      <c r="B65" s="2" t="s">
        <v>122</v>
      </c>
      <c r="D65" s="2" t="s">
        <v>142</v>
      </c>
      <c r="E65" t="s">
        <v>143</v>
      </c>
      <c r="F65" s="4">
        <v>326600</v>
      </c>
      <c r="G65" s="101">
        <f t="shared" si="3"/>
        <v>326600</v>
      </c>
      <c r="H65" s="5"/>
      <c r="I65" s="5">
        <v>215000</v>
      </c>
      <c r="J65" s="5">
        <v>111600</v>
      </c>
      <c r="K65" s="6"/>
      <c r="L65" s="6">
        <v>215000</v>
      </c>
      <c r="M65" s="6">
        <v>111600</v>
      </c>
      <c r="N65" s="6"/>
      <c r="O65" s="6"/>
      <c r="P65" s="6"/>
      <c r="Q65" s="7"/>
      <c r="R65" s="7"/>
      <c r="S65" s="7"/>
      <c r="T65" s="23"/>
      <c r="U65" s="7"/>
      <c r="V65" s="7"/>
      <c r="X65" s="9"/>
      <c r="Y65" s="9"/>
      <c r="Z65" s="9"/>
      <c r="AB65" s="8"/>
      <c r="AC65" s="8"/>
      <c r="AD65" s="8"/>
      <c r="AE65" s="1"/>
      <c r="AF65" s="1"/>
      <c r="AG65" s="1"/>
    </row>
    <row r="66" spans="1:33" x14ac:dyDescent="0.35">
      <c r="A66" s="2" t="s">
        <v>27</v>
      </c>
      <c r="B66" s="2" t="s">
        <v>122</v>
      </c>
      <c r="D66" s="2" t="s">
        <v>144</v>
      </c>
      <c r="E66" t="s">
        <v>145</v>
      </c>
      <c r="F66" s="4">
        <v>62000</v>
      </c>
      <c r="G66" s="101">
        <f t="shared" si="3"/>
        <v>62000</v>
      </c>
      <c r="H66" s="5"/>
      <c r="I66" s="5"/>
      <c r="J66" s="5">
        <v>62000</v>
      </c>
      <c r="K66" s="6"/>
      <c r="L66" s="6"/>
      <c r="M66" s="6">
        <v>62000</v>
      </c>
      <c r="N66" s="6"/>
      <c r="O66" s="6"/>
      <c r="P66" s="6"/>
      <c r="Q66" s="7"/>
      <c r="R66" s="7"/>
      <c r="S66" s="7"/>
      <c r="T66" s="23"/>
      <c r="U66" s="7"/>
      <c r="V66" s="7"/>
      <c r="X66" s="9"/>
      <c r="Y66" s="9"/>
      <c r="Z66" s="9"/>
      <c r="AB66" s="8"/>
      <c r="AC66" s="8"/>
      <c r="AD66" s="8"/>
      <c r="AE66" s="1"/>
      <c r="AF66" s="1"/>
      <c r="AG66" s="1"/>
    </row>
    <row r="67" spans="1:33" x14ac:dyDescent="0.35">
      <c r="A67" s="2" t="s">
        <v>27</v>
      </c>
      <c r="B67" s="2" t="s">
        <v>146</v>
      </c>
      <c r="D67" s="2" t="s">
        <v>147</v>
      </c>
      <c r="E67" t="s">
        <v>148</v>
      </c>
      <c r="F67" s="4">
        <v>162205.44399999999</v>
      </c>
      <c r="G67" s="101"/>
      <c r="H67" s="5"/>
      <c r="I67" s="5"/>
      <c r="J67" s="5"/>
      <c r="K67" s="6"/>
      <c r="L67" s="6"/>
      <c r="M67" s="6"/>
      <c r="N67" s="6"/>
      <c r="O67" s="6"/>
      <c r="P67" s="6"/>
      <c r="Q67" s="7"/>
      <c r="R67" s="7"/>
      <c r="S67" s="7">
        <v>162205.44399999999</v>
      </c>
      <c r="T67" s="23"/>
      <c r="U67" s="7"/>
      <c r="V67" s="7"/>
      <c r="X67" s="9"/>
      <c r="Y67" s="9"/>
      <c r="Z67" s="9"/>
      <c r="AB67" s="8"/>
      <c r="AC67" s="8"/>
      <c r="AD67" s="8">
        <v>162414.44399999999</v>
      </c>
      <c r="AE67" s="1"/>
      <c r="AF67" s="1"/>
      <c r="AG67" s="1"/>
    </row>
    <row r="68" spans="1:33" x14ac:dyDescent="0.35">
      <c r="A68" s="2" t="s">
        <v>27</v>
      </c>
      <c r="B68" s="2" t="s">
        <v>149</v>
      </c>
      <c r="D68" s="2" t="s">
        <v>152</v>
      </c>
      <c r="E68" t="s">
        <v>153</v>
      </c>
      <c r="F68" s="4">
        <v>22130.006999999998</v>
      </c>
      <c r="G68" s="101"/>
      <c r="H68" s="5"/>
      <c r="I68" s="5"/>
      <c r="J68" s="5"/>
      <c r="K68" s="6"/>
      <c r="L68" s="6"/>
      <c r="M68" s="6"/>
      <c r="N68" s="6"/>
      <c r="O68" s="6"/>
      <c r="P68" s="6"/>
      <c r="Q68" s="7"/>
      <c r="R68" s="7"/>
      <c r="S68" s="7"/>
      <c r="T68" s="23"/>
      <c r="U68" s="7"/>
      <c r="V68" s="7">
        <v>22130.006999999998</v>
      </c>
      <c r="X68" s="9"/>
      <c r="Y68" s="9"/>
      <c r="Z68" s="9">
        <v>36478</v>
      </c>
      <c r="AB68" s="8"/>
      <c r="AC68" s="8"/>
      <c r="AD68" s="8"/>
      <c r="AE68" s="1"/>
      <c r="AF68" s="1"/>
      <c r="AG68" s="1"/>
    </row>
    <row r="69" spans="1:33" x14ac:dyDescent="0.35">
      <c r="A69" s="2" t="s">
        <v>27</v>
      </c>
      <c r="B69" s="2" t="s">
        <v>154</v>
      </c>
      <c r="D69" s="2" t="s">
        <v>376</v>
      </c>
      <c r="E69" t="s">
        <v>155</v>
      </c>
      <c r="F69" s="4">
        <f>437662.34-665</f>
        <v>436997.34</v>
      </c>
      <c r="G69" s="101">
        <v>665</v>
      </c>
      <c r="H69" s="5"/>
      <c r="I69" s="5"/>
      <c r="J69" s="5">
        <v>665</v>
      </c>
      <c r="K69" s="6"/>
      <c r="L69" s="6"/>
      <c r="M69" s="6">
        <v>665</v>
      </c>
      <c r="N69" s="6"/>
      <c r="O69" s="6"/>
      <c r="P69" s="6"/>
      <c r="Q69" s="7"/>
      <c r="R69" s="7"/>
      <c r="S69" s="7">
        <v>282390.40000000002</v>
      </c>
      <c r="T69" s="23"/>
      <c r="U69" s="7"/>
      <c r="V69" s="7">
        <v>154606.94</v>
      </c>
      <c r="X69" s="9"/>
      <c r="Y69" s="9"/>
      <c r="Z69" s="9">
        <v>154606.94</v>
      </c>
      <c r="AB69" s="8"/>
      <c r="AC69" s="8"/>
      <c r="AD69" s="8">
        <v>432000</v>
      </c>
      <c r="AE69" s="1"/>
      <c r="AF69" s="1"/>
      <c r="AG69" s="1"/>
    </row>
    <row r="70" spans="1:33" x14ac:dyDescent="0.35">
      <c r="A70" s="2" t="s">
        <v>27</v>
      </c>
      <c r="B70" s="2" t="s">
        <v>372</v>
      </c>
      <c r="D70" s="2" t="s">
        <v>157</v>
      </c>
      <c r="E70" t="s">
        <v>158</v>
      </c>
      <c r="F70" s="4">
        <v>380305.56</v>
      </c>
      <c r="G70" s="101"/>
      <c r="H70" s="5"/>
      <c r="I70" s="5"/>
      <c r="J70" s="5"/>
      <c r="K70" s="6"/>
      <c r="L70" s="6"/>
      <c r="M70" s="6"/>
      <c r="N70" s="6"/>
      <c r="O70" s="6"/>
      <c r="P70" s="6"/>
      <c r="Q70" s="7">
        <v>185132.4</v>
      </c>
      <c r="R70" s="7"/>
      <c r="S70" s="7"/>
      <c r="T70" s="23">
        <v>195173.16</v>
      </c>
      <c r="U70" s="7"/>
      <c r="V70" s="7"/>
      <c r="X70" s="9">
        <v>195200</v>
      </c>
      <c r="Y70" s="9"/>
      <c r="Z70" s="9"/>
      <c r="AB70" s="8">
        <v>240000</v>
      </c>
      <c r="AC70" s="8"/>
      <c r="AD70" s="8"/>
      <c r="AE70" s="1"/>
      <c r="AF70" s="1"/>
      <c r="AG70" s="1"/>
    </row>
    <row r="71" spans="1:33" x14ac:dyDescent="0.35">
      <c r="A71" s="2" t="s">
        <v>27</v>
      </c>
      <c r="B71" s="2" t="s">
        <v>372</v>
      </c>
      <c r="D71" s="2" t="s">
        <v>157</v>
      </c>
      <c r="E71" t="s">
        <v>159</v>
      </c>
      <c r="F71" s="4">
        <v>36600</v>
      </c>
      <c r="G71" s="101"/>
      <c r="H71" s="5"/>
      <c r="I71" s="5"/>
      <c r="J71" s="5"/>
      <c r="K71" s="6"/>
      <c r="L71" s="6"/>
      <c r="M71" s="6"/>
      <c r="N71" s="6"/>
      <c r="O71" s="6"/>
      <c r="P71" s="6"/>
      <c r="Q71" s="7"/>
      <c r="R71" s="7"/>
      <c r="S71" s="7"/>
      <c r="T71" s="23"/>
      <c r="U71" s="7"/>
      <c r="V71" s="7">
        <v>36600</v>
      </c>
      <c r="X71" s="9"/>
      <c r="Y71" s="9"/>
      <c r="Z71" s="9">
        <v>36600</v>
      </c>
      <c r="AB71" s="8"/>
      <c r="AC71" s="8"/>
      <c r="AD71" s="8">
        <v>12000</v>
      </c>
      <c r="AE71" s="1"/>
      <c r="AF71" s="1"/>
      <c r="AG71" s="1"/>
    </row>
    <row r="72" spans="1:33" x14ac:dyDescent="0.35">
      <c r="A72" s="2" t="s">
        <v>27</v>
      </c>
      <c r="B72" s="2" t="s">
        <v>372</v>
      </c>
      <c r="D72" s="2" t="s">
        <v>315</v>
      </c>
      <c r="E72" t="s">
        <v>160</v>
      </c>
      <c r="F72" s="4">
        <f>436447.3-28469</f>
        <v>407978.3</v>
      </c>
      <c r="G72" s="101">
        <f t="shared" si="3"/>
        <v>28469</v>
      </c>
      <c r="H72" s="5"/>
      <c r="I72" s="5"/>
      <c r="J72" s="5">
        <v>28469</v>
      </c>
      <c r="K72" s="6"/>
      <c r="L72" s="6"/>
      <c r="M72" s="6">
        <v>28469</v>
      </c>
      <c r="N72" s="6"/>
      <c r="O72" s="6"/>
      <c r="P72" s="6"/>
      <c r="Q72" s="7"/>
      <c r="R72" s="7">
        <v>13040</v>
      </c>
      <c r="S72" s="7">
        <v>122469.59999999999</v>
      </c>
      <c r="T72" s="23"/>
      <c r="U72" s="7"/>
      <c r="V72" s="7">
        <v>272468.7</v>
      </c>
      <c r="X72" s="9"/>
      <c r="Y72" s="9"/>
      <c r="Z72" s="9">
        <v>244000</v>
      </c>
      <c r="AB72" s="8">
        <v>116400</v>
      </c>
      <c r="AC72" s="8">
        <v>19000</v>
      </c>
      <c r="AD72" s="8"/>
      <c r="AE72" s="1"/>
      <c r="AF72" s="1"/>
      <c r="AG72" s="1"/>
    </row>
    <row r="73" spans="1:33" x14ac:dyDescent="0.35">
      <c r="A73" s="2" t="s">
        <v>27</v>
      </c>
      <c r="B73" s="2" t="s">
        <v>372</v>
      </c>
      <c r="D73" s="2" t="s">
        <v>164</v>
      </c>
      <c r="E73" t="s">
        <v>165</v>
      </c>
      <c r="F73" s="4">
        <v>809327.34</v>
      </c>
      <c r="G73" s="101">
        <f t="shared" si="3"/>
        <v>169000</v>
      </c>
      <c r="H73" s="5">
        <v>124000</v>
      </c>
      <c r="I73" s="5">
        <v>45000</v>
      </c>
      <c r="J73" s="5"/>
      <c r="K73" s="6">
        <v>96406.28</v>
      </c>
      <c r="L73" s="6">
        <v>41934</v>
      </c>
      <c r="M73" s="6"/>
      <c r="N73" s="6">
        <v>27593.72</v>
      </c>
      <c r="O73" s="6">
        <v>3066</v>
      </c>
      <c r="P73" s="6"/>
      <c r="Q73" s="7"/>
      <c r="R73" s="7">
        <v>15542</v>
      </c>
      <c r="S73" s="7"/>
      <c r="T73" s="23">
        <v>582851.34</v>
      </c>
      <c r="U73" s="7">
        <v>41934</v>
      </c>
      <c r="V73" s="7"/>
      <c r="X73" s="9">
        <v>610000</v>
      </c>
      <c r="Y73" s="9">
        <v>45000</v>
      </c>
      <c r="Z73" s="9"/>
      <c r="AB73" s="8"/>
      <c r="AC73" s="8">
        <v>15200</v>
      </c>
      <c r="AD73" s="8"/>
      <c r="AE73" s="1"/>
      <c r="AF73" s="1"/>
      <c r="AG73" s="1"/>
    </row>
    <row r="74" spans="1:33" x14ac:dyDescent="0.35">
      <c r="A74" s="2" t="s">
        <v>27</v>
      </c>
      <c r="B74" s="2" t="s">
        <v>372</v>
      </c>
      <c r="D74" s="2" t="s">
        <v>162</v>
      </c>
      <c r="E74" t="s">
        <v>166</v>
      </c>
      <c r="F74" s="4">
        <v>817478.8</v>
      </c>
      <c r="G74" s="101">
        <f t="shared" si="3"/>
        <v>558000</v>
      </c>
      <c r="H74" s="5">
        <v>558000</v>
      </c>
      <c r="I74" s="5"/>
      <c r="J74" s="5"/>
      <c r="K74" s="6"/>
      <c r="L74" s="6"/>
      <c r="M74" s="6"/>
      <c r="N74" s="6">
        <v>558000</v>
      </c>
      <c r="O74" s="6"/>
      <c r="P74" s="6"/>
      <c r="Q74" s="7">
        <v>15478.8</v>
      </c>
      <c r="R74" s="7"/>
      <c r="S74" s="7"/>
      <c r="T74" s="23">
        <v>244000</v>
      </c>
      <c r="U74" s="7"/>
      <c r="V74" s="7"/>
      <c r="X74" s="9">
        <v>1220000</v>
      </c>
      <c r="Y74" s="9"/>
      <c r="Z74" s="9"/>
      <c r="AA74" s="1"/>
      <c r="AB74" s="8">
        <v>528000</v>
      </c>
      <c r="AC74" s="8"/>
      <c r="AD74" s="8">
        <v>226800</v>
      </c>
      <c r="AE74" s="1"/>
      <c r="AF74" s="1"/>
      <c r="AG74" s="1"/>
    </row>
    <row r="75" spans="1:33" x14ac:dyDescent="0.35">
      <c r="A75" s="2" t="s">
        <v>27</v>
      </c>
      <c r="B75" s="2" t="s">
        <v>372</v>
      </c>
      <c r="D75" s="2" t="s">
        <v>167</v>
      </c>
      <c r="E75" t="s">
        <v>168</v>
      </c>
      <c r="F75" s="4">
        <v>800051.98</v>
      </c>
      <c r="G75" s="101">
        <f t="shared" si="3"/>
        <v>417000</v>
      </c>
      <c r="H75" s="5">
        <v>372000</v>
      </c>
      <c r="I75" s="5">
        <v>45000</v>
      </c>
      <c r="J75" s="5"/>
      <c r="K75" s="6">
        <v>153845.56</v>
      </c>
      <c r="L75" s="6">
        <v>42056</v>
      </c>
      <c r="M75" s="6"/>
      <c r="N75" s="6">
        <v>218154.44</v>
      </c>
      <c r="O75" s="6">
        <v>2944</v>
      </c>
      <c r="P75" s="6"/>
      <c r="Q75" s="7">
        <v>7372.7999999999993</v>
      </c>
      <c r="R75" s="7">
        <v>23415</v>
      </c>
      <c r="S75" s="7"/>
      <c r="T75" s="23">
        <v>310208.18</v>
      </c>
      <c r="U75" s="7">
        <v>42056</v>
      </c>
      <c r="V75" s="7"/>
      <c r="X75" s="9">
        <v>524844</v>
      </c>
      <c r="Y75" s="9">
        <v>45000</v>
      </c>
      <c r="Z75" s="9"/>
      <c r="AB75" s="8">
        <v>68199.599999999991</v>
      </c>
      <c r="AC75" s="8">
        <v>15200</v>
      </c>
      <c r="AD75" s="8"/>
      <c r="AE75" s="1"/>
      <c r="AF75" s="1"/>
      <c r="AG75" s="1"/>
    </row>
    <row r="76" spans="1:33" x14ac:dyDescent="0.35">
      <c r="A76" s="2" t="s">
        <v>171</v>
      </c>
      <c r="B76" s="2" t="s">
        <v>172</v>
      </c>
      <c r="D76" s="2" t="s">
        <v>173</v>
      </c>
      <c r="E76" t="s">
        <v>174</v>
      </c>
      <c r="F76" s="4">
        <v>628469.06000000006</v>
      </c>
      <c r="G76" s="101">
        <f t="shared" si="3"/>
        <v>540011.52000000002</v>
      </c>
      <c r="H76" s="5"/>
      <c r="I76" s="5">
        <v>332500</v>
      </c>
      <c r="J76" s="5">
        <v>207511.52</v>
      </c>
      <c r="K76" s="6"/>
      <c r="L76" s="6">
        <v>332500</v>
      </c>
      <c r="M76" s="6">
        <v>21080</v>
      </c>
      <c r="N76" s="6">
        <v>0</v>
      </c>
      <c r="O76" s="6"/>
      <c r="P76" s="6">
        <v>186431.52</v>
      </c>
      <c r="Q76" s="7"/>
      <c r="R76" s="7"/>
      <c r="S76" s="7">
        <v>8694</v>
      </c>
      <c r="T76" s="23"/>
      <c r="U76" s="7">
        <v>76827</v>
      </c>
      <c r="V76" s="7">
        <v>2936.54</v>
      </c>
      <c r="X76" s="9">
        <v>73200</v>
      </c>
      <c r="Y76" s="9">
        <v>212500</v>
      </c>
      <c r="Z76" s="9">
        <v>186361.1</v>
      </c>
      <c r="AB76" s="8">
        <v>72000</v>
      </c>
      <c r="AC76" s="8">
        <v>62500</v>
      </c>
      <c r="AD76" s="8">
        <v>192000</v>
      </c>
      <c r="AE76" s="1"/>
      <c r="AF76" s="1"/>
      <c r="AG76" s="1"/>
    </row>
    <row r="77" spans="1:33" x14ac:dyDescent="0.35">
      <c r="A77" s="2" t="s">
        <v>171</v>
      </c>
      <c r="B77" s="2" t="s">
        <v>172</v>
      </c>
      <c r="D77" s="2" t="s">
        <v>175</v>
      </c>
      <c r="E77" t="s">
        <v>176</v>
      </c>
      <c r="F77" s="4">
        <v>372000</v>
      </c>
      <c r="G77" s="101">
        <f t="shared" si="3"/>
        <v>372000</v>
      </c>
      <c r="H77" s="5"/>
      <c r="I77" s="5">
        <v>310000</v>
      </c>
      <c r="J77" s="5">
        <v>62000</v>
      </c>
      <c r="K77" s="6"/>
      <c r="L77" s="6">
        <v>310000</v>
      </c>
      <c r="M77" s="6">
        <v>62000</v>
      </c>
      <c r="N77" s="6"/>
      <c r="O77" s="6"/>
      <c r="P77" s="6"/>
      <c r="Q77" s="7"/>
      <c r="R77" s="7"/>
      <c r="S77" s="7"/>
      <c r="T77" s="23"/>
      <c r="U77" s="7"/>
      <c r="V77" s="7"/>
      <c r="X77" s="9"/>
      <c r="Y77" s="9"/>
      <c r="Z77" s="9"/>
      <c r="AB77" s="8"/>
      <c r="AC77" s="8"/>
      <c r="AD77" s="8"/>
      <c r="AE77" s="1"/>
      <c r="AF77" s="1"/>
      <c r="AG77" s="1"/>
    </row>
    <row r="78" spans="1:33" x14ac:dyDescent="0.35">
      <c r="A78" s="2" t="s">
        <v>171</v>
      </c>
      <c r="B78" s="2" t="s">
        <v>172</v>
      </c>
      <c r="D78" s="2" t="s">
        <v>177</v>
      </c>
      <c r="E78" t="s">
        <v>178</v>
      </c>
      <c r="F78" s="4">
        <v>258171.19999999998</v>
      </c>
      <c r="G78" s="101">
        <f t="shared" si="3"/>
        <v>201184.4</v>
      </c>
      <c r="H78" s="5"/>
      <c r="I78" s="5">
        <v>145000</v>
      </c>
      <c r="J78" s="5">
        <v>56184.4</v>
      </c>
      <c r="K78" s="6"/>
      <c r="L78" s="6">
        <v>145000</v>
      </c>
      <c r="M78" s="6">
        <v>9920</v>
      </c>
      <c r="N78" s="6"/>
      <c r="O78" s="6"/>
      <c r="P78" s="6">
        <v>46264.4</v>
      </c>
      <c r="Q78" s="7"/>
      <c r="R78" s="7"/>
      <c r="S78" s="7"/>
      <c r="T78" s="23"/>
      <c r="U78" s="7">
        <v>53705</v>
      </c>
      <c r="V78" s="7">
        <v>3281.7999999999997</v>
      </c>
      <c r="X78" s="9"/>
      <c r="Y78" s="9">
        <v>100000</v>
      </c>
      <c r="Z78" s="9">
        <v>48800</v>
      </c>
      <c r="AB78" s="8"/>
      <c r="AC78" s="8"/>
      <c r="AD78" s="8"/>
      <c r="AE78" s="1"/>
      <c r="AF78" s="1"/>
      <c r="AG78" s="1"/>
    </row>
    <row r="79" spans="1:33" x14ac:dyDescent="0.35">
      <c r="A79" s="2" t="s">
        <v>171</v>
      </c>
      <c r="B79" s="2" t="s">
        <v>172</v>
      </c>
      <c r="D79" s="2" t="s">
        <v>179</v>
      </c>
      <c r="E79" t="s">
        <v>180</v>
      </c>
      <c r="F79" s="4">
        <v>332165.94</v>
      </c>
      <c r="G79" s="101">
        <f t="shared" si="3"/>
        <v>262000</v>
      </c>
      <c r="H79" s="5"/>
      <c r="I79" s="5">
        <v>200000</v>
      </c>
      <c r="J79" s="5">
        <v>62000</v>
      </c>
      <c r="K79" s="6"/>
      <c r="L79" s="6">
        <v>200000</v>
      </c>
      <c r="M79" s="6">
        <v>38473.480000000003</v>
      </c>
      <c r="N79" s="6"/>
      <c r="O79" s="6"/>
      <c r="P79" s="6">
        <v>23526.52</v>
      </c>
      <c r="Q79" s="7"/>
      <c r="R79" s="7">
        <v>15865</v>
      </c>
      <c r="S79" s="7"/>
      <c r="T79" s="23"/>
      <c r="U79" s="7">
        <v>53048</v>
      </c>
      <c r="V79" s="7">
        <v>1252.94</v>
      </c>
      <c r="X79" s="9"/>
      <c r="Y79" s="9">
        <v>121635</v>
      </c>
      <c r="Z79" s="9">
        <v>24400</v>
      </c>
      <c r="AB79" s="8"/>
      <c r="AC79" s="8">
        <v>37500</v>
      </c>
      <c r="AD79" s="8">
        <v>24000</v>
      </c>
      <c r="AE79" s="1"/>
      <c r="AF79" s="1"/>
      <c r="AG79" s="1"/>
    </row>
    <row r="80" spans="1:33" x14ac:dyDescent="0.35">
      <c r="A80" s="2" t="s">
        <v>171</v>
      </c>
      <c r="B80" s="2" t="s">
        <v>172</v>
      </c>
      <c r="D80" s="2" t="s">
        <v>181</v>
      </c>
      <c r="E80" t="s">
        <v>182</v>
      </c>
      <c r="F80" s="4">
        <v>347439.68000000005</v>
      </c>
      <c r="G80" s="101">
        <f t="shared" si="3"/>
        <v>172560.16</v>
      </c>
      <c r="H80" s="5"/>
      <c r="I80" s="5">
        <v>150198</v>
      </c>
      <c r="J80" s="5">
        <v>22362.16</v>
      </c>
      <c r="K80" s="6"/>
      <c r="L80" s="6">
        <v>150198</v>
      </c>
      <c r="M80" s="6">
        <v>21080</v>
      </c>
      <c r="N80" s="6"/>
      <c r="O80" s="6"/>
      <c r="P80" s="6">
        <v>1282.1600000000001</v>
      </c>
      <c r="Q80" s="7"/>
      <c r="R80" s="7">
        <v>62302</v>
      </c>
      <c r="S80" s="7"/>
      <c r="T80" s="23"/>
      <c r="U80" s="7">
        <v>101639</v>
      </c>
      <c r="V80" s="7">
        <v>10938.52</v>
      </c>
      <c r="X80" s="9"/>
      <c r="Y80" s="9">
        <v>150198</v>
      </c>
      <c r="Z80" s="9">
        <v>12200</v>
      </c>
      <c r="AB80" s="8"/>
      <c r="AC80" s="8">
        <v>62500</v>
      </c>
      <c r="AD80" s="8"/>
      <c r="AE80" s="1"/>
      <c r="AF80" s="1"/>
      <c r="AG80" s="1"/>
    </row>
    <row r="81" spans="1:33" x14ac:dyDescent="0.35">
      <c r="A81" s="2" t="s">
        <v>171</v>
      </c>
      <c r="B81" s="2" t="s">
        <v>172</v>
      </c>
      <c r="D81" s="2" t="s">
        <v>183</v>
      </c>
      <c r="E81" t="s">
        <v>184</v>
      </c>
      <c r="F81" s="4">
        <v>113320</v>
      </c>
      <c r="G81" s="101">
        <f t="shared" si="3"/>
        <v>113320</v>
      </c>
      <c r="H81" s="5"/>
      <c r="I81" s="5">
        <v>91000</v>
      </c>
      <c r="J81" s="5">
        <v>22320</v>
      </c>
      <c r="K81" s="6"/>
      <c r="L81" s="6">
        <v>91000</v>
      </c>
      <c r="M81" s="6">
        <v>22320</v>
      </c>
      <c r="N81" s="6"/>
      <c r="O81" s="6"/>
      <c r="P81" s="6"/>
      <c r="Q81" s="7"/>
      <c r="R81" s="7"/>
      <c r="S81" s="7"/>
      <c r="T81" s="23"/>
      <c r="U81" s="7"/>
      <c r="V81" s="7"/>
      <c r="X81" s="9"/>
      <c r="Y81" s="9"/>
      <c r="Z81" s="9"/>
      <c r="AB81" s="8"/>
      <c r="AC81" s="8"/>
      <c r="AD81" s="8"/>
      <c r="AE81" s="1"/>
      <c r="AF81" s="1"/>
      <c r="AG81" s="1"/>
    </row>
    <row r="82" spans="1:33" x14ac:dyDescent="0.35">
      <c r="A82" s="2" t="s">
        <v>171</v>
      </c>
      <c r="B82" s="2" t="s">
        <v>172</v>
      </c>
      <c r="D82" s="2" t="s">
        <v>185</v>
      </c>
      <c r="E82" t="s">
        <v>186</v>
      </c>
      <c r="F82" s="4">
        <v>75440</v>
      </c>
      <c r="G82" s="101">
        <f t="shared" si="3"/>
        <v>75440</v>
      </c>
      <c r="H82" s="5"/>
      <c r="I82" s="5">
        <v>52500</v>
      </c>
      <c r="J82" s="5">
        <v>22940</v>
      </c>
      <c r="K82" s="6"/>
      <c r="L82" s="6">
        <v>52500</v>
      </c>
      <c r="M82" s="6">
        <v>22940</v>
      </c>
      <c r="N82" s="6"/>
      <c r="O82" s="6"/>
      <c r="P82" s="6"/>
      <c r="Q82" s="7"/>
      <c r="R82" s="7"/>
      <c r="S82" s="7"/>
      <c r="T82" s="23"/>
      <c r="U82" s="7"/>
      <c r="V82" s="7"/>
      <c r="X82" s="9"/>
      <c r="Y82" s="9"/>
      <c r="Z82" s="9"/>
      <c r="AB82" s="8"/>
      <c r="AC82" s="8"/>
      <c r="AD82" s="8"/>
      <c r="AE82" s="1"/>
      <c r="AF82" s="1"/>
      <c r="AG82" s="1"/>
    </row>
    <row r="83" spans="1:33" x14ac:dyDescent="0.35">
      <c r="A83" s="2" t="s">
        <v>171</v>
      </c>
      <c r="B83" s="2" t="s">
        <v>187</v>
      </c>
      <c r="D83" s="2" t="s">
        <v>188</v>
      </c>
      <c r="E83" t="s">
        <v>189</v>
      </c>
      <c r="F83" s="4">
        <v>662526</v>
      </c>
      <c r="G83" s="101">
        <f t="shared" si="3"/>
        <v>312246.03999999998</v>
      </c>
      <c r="H83" s="5"/>
      <c r="I83" s="5">
        <v>202604</v>
      </c>
      <c r="J83" s="5">
        <v>109642.04</v>
      </c>
      <c r="K83" s="6"/>
      <c r="L83" s="6">
        <v>202604</v>
      </c>
      <c r="M83" s="6">
        <v>30380</v>
      </c>
      <c r="N83" s="6"/>
      <c r="O83" s="6"/>
      <c r="P83" s="6">
        <v>79262.039999999994</v>
      </c>
      <c r="Q83" s="7"/>
      <c r="R83" s="7">
        <v>23396</v>
      </c>
      <c r="S83" s="7">
        <v>14185.199999999999</v>
      </c>
      <c r="T83" s="23"/>
      <c r="U83" s="7">
        <f>39254-150</f>
        <v>39104</v>
      </c>
      <c r="V83" s="7">
        <v>273594.76</v>
      </c>
      <c r="X83" s="9"/>
      <c r="Y83" s="9">
        <v>39104</v>
      </c>
      <c r="Z83" s="9">
        <v>351578.38</v>
      </c>
      <c r="AB83" s="8"/>
      <c r="AC83" s="8">
        <v>62500</v>
      </c>
      <c r="AD83" s="8">
        <v>360000</v>
      </c>
      <c r="AE83" s="1"/>
      <c r="AF83" s="1"/>
      <c r="AG83" s="1"/>
    </row>
    <row r="84" spans="1:33" x14ac:dyDescent="0.35">
      <c r="A84" s="2" t="s">
        <v>171</v>
      </c>
      <c r="B84" s="2" t="s">
        <v>187</v>
      </c>
      <c r="D84" s="2" t="s">
        <v>190</v>
      </c>
      <c r="E84" t="s">
        <v>191</v>
      </c>
      <c r="F84" s="4">
        <v>303791.68000000005</v>
      </c>
      <c r="G84" s="101">
        <f t="shared" si="3"/>
        <v>220280.08000000002</v>
      </c>
      <c r="H84" s="5"/>
      <c r="I84" s="5">
        <v>124655</v>
      </c>
      <c r="J84" s="5">
        <v>95625.08</v>
      </c>
      <c r="K84" s="6"/>
      <c r="L84" s="6">
        <v>124655</v>
      </c>
      <c r="M84" s="6"/>
      <c r="N84" s="6"/>
      <c r="O84" s="6"/>
      <c r="P84" s="6">
        <v>95625.08</v>
      </c>
      <c r="Q84" s="7"/>
      <c r="R84" s="7">
        <v>12845</v>
      </c>
      <c r="S84" s="7">
        <v>13059.6</v>
      </c>
      <c r="T84" s="23"/>
      <c r="U84" s="7">
        <v>57607</v>
      </c>
      <c r="V84" s="7"/>
      <c r="X84" s="9"/>
      <c r="Y84" s="9">
        <v>124655</v>
      </c>
      <c r="Z84" s="9">
        <v>94082.739999999991</v>
      </c>
      <c r="AB84" s="8"/>
      <c r="AC84" s="8">
        <v>62500</v>
      </c>
      <c r="AD84" s="8">
        <v>105600</v>
      </c>
      <c r="AE84" s="1"/>
      <c r="AF84" s="1"/>
      <c r="AG84" s="1"/>
    </row>
    <row r="85" spans="1:33" x14ac:dyDescent="0.35">
      <c r="A85" s="2" t="s">
        <v>171</v>
      </c>
      <c r="B85" s="2" t="s">
        <v>192</v>
      </c>
      <c r="D85" s="2" t="s">
        <v>355</v>
      </c>
      <c r="E85" t="s">
        <v>193</v>
      </c>
      <c r="F85" s="4">
        <v>22684.68</v>
      </c>
      <c r="G85" s="101">
        <v>14207</v>
      </c>
      <c r="H85" s="5"/>
      <c r="I85" s="5"/>
      <c r="J85" s="5">
        <f>P85</f>
        <v>14206.9</v>
      </c>
      <c r="K85" s="6"/>
      <c r="L85" s="6"/>
      <c r="M85" s="6"/>
      <c r="N85" s="6"/>
      <c r="O85" s="6"/>
      <c r="P85" s="6">
        <f>11645+2561.9</f>
        <v>14206.9</v>
      </c>
      <c r="Q85" s="7"/>
      <c r="R85" s="7"/>
      <c r="S85" s="7"/>
      <c r="T85" s="23"/>
      <c r="U85" s="7"/>
      <c r="V85" s="7">
        <v>8477.7800000000007</v>
      </c>
      <c r="W85" t="s">
        <v>398</v>
      </c>
      <c r="X85" s="9"/>
      <c r="Y85" s="9"/>
      <c r="Z85" s="9">
        <v>142587.5</v>
      </c>
      <c r="AB85" s="8"/>
      <c r="AC85" s="8"/>
      <c r="AD85" s="8">
        <v>140250</v>
      </c>
      <c r="AE85" s="1"/>
      <c r="AF85" s="1"/>
      <c r="AG85" s="1"/>
    </row>
    <row r="86" spans="1:33" x14ac:dyDescent="0.35">
      <c r="A86" s="2" t="s">
        <v>171</v>
      </c>
      <c r="B86" s="2" t="s">
        <v>192</v>
      </c>
      <c r="D86" s="2" t="s">
        <v>356</v>
      </c>
      <c r="E86" t="s">
        <v>194</v>
      </c>
      <c r="F86" s="4">
        <v>64907.880000000005</v>
      </c>
      <c r="G86" s="101">
        <f t="shared" si="3"/>
        <v>64907.880000000005</v>
      </c>
      <c r="H86" s="5">
        <f>N86</f>
        <v>64907.880000000005</v>
      </c>
      <c r="I86" s="5"/>
      <c r="J86" s="5"/>
      <c r="K86" s="6"/>
      <c r="L86" s="6"/>
      <c r="M86" s="6"/>
      <c r="N86" s="6">
        <f>62345.98+2561.9</f>
        <v>64907.880000000005</v>
      </c>
      <c r="O86" s="6"/>
      <c r="P86" s="6"/>
      <c r="Q86" s="7"/>
      <c r="R86" s="7"/>
      <c r="S86" s="7"/>
      <c r="T86" s="23"/>
      <c r="U86" s="7"/>
      <c r="V86" s="7"/>
      <c r="W86" t="s">
        <v>398</v>
      </c>
      <c r="X86" s="9">
        <v>545340</v>
      </c>
      <c r="Y86" s="9"/>
      <c r="Z86" s="9"/>
      <c r="AB86" s="8">
        <v>536400</v>
      </c>
      <c r="AC86" s="8"/>
      <c r="AD86" s="8"/>
      <c r="AE86" s="1"/>
      <c r="AF86" s="1"/>
      <c r="AG86" s="1"/>
    </row>
    <row r="87" spans="1:33" x14ac:dyDescent="0.35">
      <c r="A87" s="2" t="s">
        <v>171</v>
      </c>
      <c r="B87" s="2" t="s">
        <v>192</v>
      </c>
      <c r="D87" s="2" t="s">
        <v>357</v>
      </c>
      <c r="E87" t="s">
        <v>195</v>
      </c>
      <c r="F87" s="4">
        <v>207292.98</v>
      </c>
      <c r="G87" s="101">
        <f t="shared" si="3"/>
        <v>50700.98</v>
      </c>
      <c r="H87" s="5"/>
      <c r="I87" s="5">
        <f>L87</f>
        <v>50700.98</v>
      </c>
      <c r="J87" s="5"/>
      <c r="K87" s="6"/>
      <c r="L87" s="6">
        <v>50700.98</v>
      </c>
      <c r="M87" s="6"/>
      <c r="N87" s="6"/>
      <c r="O87" s="6"/>
      <c r="P87" s="6"/>
      <c r="Q87" s="7"/>
      <c r="R87" s="7"/>
      <c r="S87" s="7"/>
      <c r="T87" s="23"/>
      <c r="U87" s="7">
        <v>156592</v>
      </c>
      <c r="V87" s="7"/>
      <c r="W87" t="s">
        <v>398</v>
      </c>
      <c r="X87" s="9"/>
      <c r="Y87" s="9">
        <v>464200</v>
      </c>
      <c r="Z87" s="9"/>
      <c r="AB87" s="8"/>
      <c r="AC87" s="8">
        <v>464200</v>
      </c>
      <c r="AD87" s="8"/>
      <c r="AE87" s="1"/>
      <c r="AF87" s="1"/>
      <c r="AG87" s="1"/>
    </row>
    <row r="88" spans="1:33" ht="15" thickBot="1" x14ac:dyDescent="0.4">
      <c r="A88" s="19"/>
      <c r="B88" s="19"/>
      <c r="C88" s="19"/>
      <c r="D88" s="19"/>
      <c r="E88" s="19"/>
      <c r="F88" s="20">
        <f>SUM(F4:F87)</f>
        <v>21227950.115999997</v>
      </c>
      <c r="G88" s="102">
        <f t="shared" si="3"/>
        <v>13890455.720000003</v>
      </c>
      <c r="H88" s="93">
        <f t="shared" ref="H88:V88" si="4">SUM(H4:H87)</f>
        <v>5306255.74</v>
      </c>
      <c r="I88" s="93">
        <f t="shared" si="4"/>
        <v>3476963.98</v>
      </c>
      <c r="J88" s="93">
        <f t="shared" si="4"/>
        <v>5107236.0000000009</v>
      </c>
      <c r="K88" s="94">
        <f t="shared" si="4"/>
        <v>2958108.5799999996</v>
      </c>
      <c r="L88" s="94">
        <f t="shared" si="4"/>
        <v>3416805.98</v>
      </c>
      <c r="M88" s="94">
        <f t="shared" si="4"/>
        <v>2441882.7600000002</v>
      </c>
      <c r="N88" s="95">
        <f t="shared" si="4"/>
        <v>2348147.16</v>
      </c>
      <c r="O88" s="94">
        <f t="shared" si="4"/>
        <v>60158</v>
      </c>
      <c r="P88" s="94">
        <f t="shared" si="4"/>
        <v>2665353.2400000002</v>
      </c>
      <c r="Q88" s="26">
        <f t="shared" si="4"/>
        <v>447337.41999999993</v>
      </c>
      <c r="R88" s="26">
        <f t="shared" si="4"/>
        <v>166405</v>
      </c>
      <c r="S88" s="26">
        <f t="shared" si="4"/>
        <v>721426.11399999994</v>
      </c>
      <c r="T88" s="27">
        <f t="shared" si="4"/>
        <v>3783866.9049999998</v>
      </c>
      <c r="U88" s="26">
        <f t="shared" si="4"/>
        <v>994175.91999999993</v>
      </c>
      <c r="V88" s="26">
        <f t="shared" si="4"/>
        <v>1771702.037</v>
      </c>
      <c r="X88" s="29">
        <f>SUM(X4:X87)</f>
        <v>7917446.2000000002</v>
      </c>
      <c r="Y88" s="29">
        <f>SUM(Y4:Y87)</f>
        <v>1989225</v>
      </c>
      <c r="Z88" s="29">
        <f>SUM(Z4:Z87)</f>
        <v>3692667.42</v>
      </c>
      <c r="AB88" s="28">
        <f>SUM(AB4:AB87)</f>
        <v>3068080.8000000003</v>
      </c>
      <c r="AC88" s="28">
        <f>SUM(AC4:AC87)</f>
        <v>1004929</v>
      </c>
      <c r="AD88" s="28">
        <f>SUM(AD4:AD87)</f>
        <v>2869327.6439999999</v>
      </c>
    </row>
    <row r="89" spans="1:33" ht="15.5" thickTop="1" thickBot="1" x14ac:dyDescent="0.4">
      <c r="H89" s="131">
        <f>H88+I88+J88</f>
        <v>13890455.720000003</v>
      </c>
      <c r="I89" s="131"/>
      <c r="J89" s="131"/>
      <c r="K89" s="132">
        <f>K88+L88+M88</f>
        <v>8816797.3200000003</v>
      </c>
      <c r="L89" s="132"/>
      <c r="M89" s="133"/>
      <c r="N89" s="134">
        <f>N88+O88+P88</f>
        <v>5073658.4000000004</v>
      </c>
      <c r="O89" s="132"/>
      <c r="P89" s="132"/>
      <c r="Q89" s="135">
        <f>Q88+R88+S88</f>
        <v>1335168.534</v>
      </c>
      <c r="R89" s="135"/>
      <c r="S89" s="136"/>
      <c r="T89" s="137">
        <f>T88+U88+V88</f>
        <v>6549744.8619999997</v>
      </c>
      <c r="U89" s="135"/>
      <c r="V89" s="135"/>
      <c r="X89" s="141">
        <f>X88+Y88+Z88</f>
        <v>13599338.619999999</v>
      </c>
      <c r="Y89" s="141"/>
      <c r="Z89" s="141"/>
      <c r="AB89" s="142">
        <f>AB88+AC88+AD88</f>
        <v>6942337.4440000001</v>
      </c>
      <c r="AC89" s="142"/>
      <c r="AD89" s="142"/>
    </row>
    <row r="90" spans="1:33" ht="15.5" thickTop="1" thickBot="1" x14ac:dyDescent="0.4"/>
    <row r="91" spans="1:33" ht="15" thickTop="1" x14ac:dyDescent="0.35">
      <c r="D91" t="s">
        <v>318</v>
      </c>
      <c r="E91" t="s">
        <v>364</v>
      </c>
      <c r="X91" s="138"/>
      <c r="Y91" s="138"/>
      <c r="Z91" s="138"/>
    </row>
    <row r="92" spans="1:33" x14ac:dyDescent="0.35">
      <c r="D92" s="2" t="s">
        <v>320</v>
      </c>
      <c r="E92" t="s">
        <v>383</v>
      </c>
      <c r="F92" s="1"/>
      <c r="G92" s="1"/>
      <c r="N92">
        <f>11645+2561.9+50700.98+62345.98+2561.9</f>
        <v>129815.76000000001</v>
      </c>
    </row>
    <row r="93" spans="1:33" x14ac:dyDescent="0.35">
      <c r="D93" s="2" t="s">
        <v>316</v>
      </c>
      <c r="E93" t="s">
        <v>384</v>
      </c>
    </row>
    <row r="94" spans="1:33" x14ac:dyDescent="0.35">
      <c r="D94" t="s">
        <v>319</v>
      </c>
      <c r="E94" t="s">
        <v>380</v>
      </c>
    </row>
    <row r="95" spans="1:33" x14ac:dyDescent="0.35">
      <c r="D95" t="s">
        <v>353</v>
      </c>
      <c r="E95" t="s">
        <v>363</v>
      </c>
      <c r="T95" s="1"/>
      <c r="V95" s="104"/>
    </row>
    <row r="96" spans="1:33" x14ac:dyDescent="0.35">
      <c r="D96" t="s">
        <v>352</v>
      </c>
      <c r="E96" t="s">
        <v>360</v>
      </c>
      <c r="S96" s="1"/>
    </row>
    <row r="97" spans="4:32" x14ac:dyDescent="0.35">
      <c r="D97" t="s">
        <v>358</v>
      </c>
      <c r="E97" t="s">
        <v>361</v>
      </c>
    </row>
    <row r="98" spans="4:32" x14ac:dyDescent="0.35">
      <c r="D98" t="s">
        <v>359</v>
      </c>
      <c r="E98" t="s">
        <v>362</v>
      </c>
      <c r="T98" s="1"/>
    </row>
    <row r="99" spans="4:32" x14ac:dyDescent="0.35">
      <c r="D99" t="s">
        <v>366</v>
      </c>
      <c r="E99" t="s">
        <v>369</v>
      </c>
      <c r="AD99" s="1"/>
    </row>
    <row r="100" spans="4:32" x14ac:dyDescent="0.35">
      <c r="D100" t="s">
        <v>370</v>
      </c>
      <c r="E100" t="s">
        <v>371</v>
      </c>
      <c r="S100" s="1"/>
      <c r="Z100" s="1"/>
      <c r="AD100" s="1"/>
      <c r="AF100" s="1"/>
    </row>
    <row r="101" spans="4:32" x14ac:dyDescent="0.35">
      <c r="D101" t="s">
        <v>373</v>
      </c>
      <c r="E101" t="s">
        <v>374</v>
      </c>
      <c r="N101" s="1"/>
      <c r="S101" s="1"/>
    </row>
    <row r="102" spans="4:32" x14ac:dyDescent="0.35">
      <c r="D102" t="s">
        <v>392</v>
      </c>
      <c r="E102" t="s">
        <v>394</v>
      </c>
      <c r="N102" s="1"/>
      <c r="S102" s="1"/>
    </row>
    <row r="103" spans="4:32" x14ac:dyDescent="0.35">
      <c r="D103" t="s">
        <v>393</v>
      </c>
      <c r="E103" t="s">
        <v>395</v>
      </c>
      <c r="I103" s="1"/>
      <c r="N103" s="1"/>
      <c r="S103" s="1"/>
    </row>
  </sheetData>
  <mergeCells count="17">
    <mergeCell ref="X1:Z1"/>
    <mergeCell ref="X91:Z91"/>
    <mergeCell ref="AB1:AD1"/>
    <mergeCell ref="N2:P2"/>
    <mergeCell ref="Q2:V2"/>
    <mergeCell ref="X89:Z89"/>
    <mergeCell ref="AB89:AD89"/>
    <mergeCell ref="H89:J89"/>
    <mergeCell ref="K89:M89"/>
    <mergeCell ref="N89:P89"/>
    <mergeCell ref="Q89:S89"/>
    <mergeCell ref="T89:V89"/>
    <mergeCell ref="H1:J1"/>
    <mergeCell ref="K1:M1"/>
    <mergeCell ref="N1:P1"/>
    <mergeCell ref="Q1:S1"/>
    <mergeCell ref="T1:V1"/>
  </mergeCells>
  <phoneticPr fontId="6" type="noConversion"/>
  <pageMargins left="0.7" right="0.7" top="0.75" bottom="0.75" header="0.3" footer="0.3"/>
  <ignoredErrors>
    <ignoredError sqref="G8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054AE-17C7-437B-AC0F-89785D379793}">
  <dimension ref="A1:AJ126"/>
  <sheetViews>
    <sheetView workbookViewId="0">
      <pane ySplit="3" topLeftCell="A4" activePane="bottomLeft" state="frozen"/>
      <selection pane="bottomLeft" activeCell="A125" sqref="A125:XFD125"/>
    </sheetView>
  </sheetViews>
  <sheetFormatPr defaultRowHeight="14.5" x14ac:dyDescent="0.35"/>
  <cols>
    <col min="1" max="1" width="10.36328125" customWidth="1"/>
    <col min="2" max="2" width="34.36328125" bestFit="1" customWidth="1"/>
    <col min="3" max="3" width="23.54296875" customWidth="1"/>
    <col min="4" max="4" width="21" bestFit="1" customWidth="1"/>
    <col min="5" max="5" width="93.36328125" customWidth="1"/>
    <col min="6" max="6" width="10.90625" bestFit="1" customWidth="1"/>
    <col min="7" max="7" width="10.90625" customWidth="1"/>
    <col min="8" max="8" width="15.26953125" bestFit="1" customWidth="1"/>
    <col min="9" max="9" width="13.7265625" bestFit="1" customWidth="1"/>
    <col min="10" max="10" width="17.81640625" bestFit="1" customWidth="1"/>
    <col min="11" max="11" width="15.26953125" bestFit="1" customWidth="1"/>
    <col min="12" max="12" width="13.7265625" bestFit="1" customWidth="1"/>
    <col min="13" max="13" width="17.81640625" bestFit="1" customWidth="1"/>
    <col min="14" max="14" width="15.26953125" bestFit="1" customWidth="1"/>
    <col min="15" max="15" width="13.7265625" bestFit="1" customWidth="1"/>
    <col min="16" max="16" width="17.81640625" bestFit="1" customWidth="1"/>
    <col min="17" max="17" width="15.26953125" bestFit="1" customWidth="1"/>
    <col min="18" max="18" width="13.7265625" bestFit="1" customWidth="1"/>
    <col min="19" max="19" width="17.81640625" bestFit="1" customWidth="1"/>
    <col min="20" max="20" width="15.26953125" bestFit="1" customWidth="1"/>
    <col min="21" max="21" width="13.7265625" bestFit="1" customWidth="1"/>
    <col min="22" max="22" width="17.81640625" bestFit="1" customWidth="1"/>
    <col min="23" max="23" width="9.90625" customWidth="1"/>
    <col min="24" max="24" width="15.26953125" bestFit="1" customWidth="1"/>
    <col min="25" max="25" width="13.7265625" bestFit="1" customWidth="1"/>
    <col min="26" max="26" width="17.81640625" bestFit="1" customWidth="1"/>
    <col min="27" max="27" width="14.54296875" bestFit="1" customWidth="1"/>
    <col min="28" max="28" width="13.26953125" bestFit="1" customWidth="1"/>
    <col min="29" max="29" width="17.81640625" bestFit="1" customWidth="1"/>
    <col min="30" max="30" width="17.81640625" customWidth="1"/>
    <col min="31" max="31" width="15.26953125" bestFit="1" customWidth="1"/>
    <col min="32" max="33" width="17.81640625" bestFit="1" customWidth="1"/>
  </cols>
  <sheetData>
    <row r="1" spans="1:36" ht="25" customHeight="1" x14ac:dyDescent="0.35">
      <c r="A1" s="90" t="s">
        <v>365</v>
      </c>
      <c r="B1" s="44"/>
      <c r="F1" s="88" t="s">
        <v>339</v>
      </c>
      <c r="G1" s="89">
        <v>2025</v>
      </c>
      <c r="H1" s="123" t="s">
        <v>199</v>
      </c>
      <c r="I1" s="123"/>
      <c r="J1" s="124"/>
      <c r="K1" s="125" t="s">
        <v>309</v>
      </c>
      <c r="L1" s="126"/>
      <c r="M1" s="127"/>
      <c r="N1" s="128" t="s">
        <v>338</v>
      </c>
      <c r="O1" s="129"/>
      <c r="P1" s="130"/>
      <c r="Q1" s="125" t="s">
        <v>313</v>
      </c>
      <c r="R1" s="126"/>
      <c r="S1" s="127"/>
      <c r="T1" s="125" t="s">
        <v>314</v>
      </c>
      <c r="U1" s="126"/>
      <c r="V1" s="127"/>
      <c r="X1" s="125" t="s">
        <v>312</v>
      </c>
      <c r="Y1" s="126"/>
      <c r="Z1" s="127"/>
      <c r="AA1" s="125" t="s">
        <v>342</v>
      </c>
      <c r="AB1" s="126"/>
      <c r="AC1" s="127"/>
      <c r="AE1" s="125" t="s">
        <v>208</v>
      </c>
      <c r="AF1" s="126"/>
      <c r="AG1" s="127"/>
    </row>
    <row r="2" spans="1:36" x14ac:dyDescent="0.35">
      <c r="A2" s="91" t="s">
        <v>0</v>
      </c>
      <c r="B2" s="91" t="s">
        <v>200</v>
      </c>
      <c r="C2" s="91" t="s">
        <v>1</v>
      </c>
      <c r="D2" s="91" t="s">
        <v>196</v>
      </c>
      <c r="E2" s="91" t="s">
        <v>2</v>
      </c>
      <c r="F2" s="21" t="s">
        <v>340</v>
      </c>
      <c r="G2" s="96" t="s">
        <v>340</v>
      </c>
      <c r="H2" s="10" t="s">
        <v>198</v>
      </c>
      <c r="I2" s="10" t="s">
        <v>198</v>
      </c>
      <c r="J2" s="10" t="s">
        <v>198</v>
      </c>
      <c r="K2" s="11" t="s">
        <v>3</v>
      </c>
      <c r="L2" s="11" t="s">
        <v>3</v>
      </c>
      <c r="M2" s="11" t="s">
        <v>3</v>
      </c>
      <c r="N2" s="139" t="s">
        <v>379</v>
      </c>
      <c r="O2" s="139"/>
      <c r="P2" s="139"/>
      <c r="Q2" s="140" t="s">
        <v>336</v>
      </c>
      <c r="R2" s="140"/>
      <c r="S2" s="140"/>
      <c r="T2" s="140"/>
      <c r="U2" s="140"/>
      <c r="V2" s="140"/>
      <c r="X2" s="13" t="s">
        <v>198</v>
      </c>
      <c r="Y2" s="13" t="s">
        <v>198</v>
      </c>
      <c r="Z2" s="13" t="s">
        <v>198</v>
      </c>
      <c r="AA2" s="143" t="s">
        <v>341</v>
      </c>
      <c r="AB2" s="144"/>
      <c r="AC2" s="144"/>
      <c r="AE2" s="12"/>
      <c r="AF2" s="12"/>
      <c r="AG2" s="12"/>
    </row>
    <row r="3" spans="1:36" x14ac:dyDescent="0.35">
      <c r="A3" s="92"/>
      <c r="B3" s="92"/>
      <c r="C3" s="92"/>
      <c r="D3" s="92"/>
      <c r="E3" s="92"/>
      <c r="F3" s="22" t="s">
        <v>197</v>
      </c>
      <c r="G3" s="22" t="s">
        <v>197</v>
      </c>
      <c r="H3" s="14" t="s">
        <v>202</v>
      </c>
      <c r="I3" s="14" t="s">
        <v>203</v>
      </c>
      <c r="J3" s="14" t="s">
        <v>204</v>
      </c>
      <c r="K3" s="15" t="s">
        <v>202</v>
      </c>
      <c r="L3" s="15" t="s">
        <v>203</v>
      </c>
      <c r="M3" s="15" t="s">
        <v>204</v>
      </c>
      <c r="N3" s="24" t="s">
        <v>202</v>
      </c>
      <c r="O3" s="15" t="s">
        <v>203</v>
      </c>
      <c r="P3" s="15" t="s">
        <v>204</v>
      </c>
      <c r="Q3" s="16" t="s">
        <v>202</v>
      </c>
      <c r="R3" s="16" t="s">
        <v>203</v>
      </c>
      <c r="S3" s="31" t="s">
        <v>204</v>
      </c>
      <c r="T3" s="16" t="s">
        <v>202</v>
      </c>
      <c r="U3" s="16" t="s">
        <v>203</v>
      </c>
      <c r="V3" s="16" t="s">
        <v>204</v>
      </c>
      <c r="X3" s="18" t="s">
        <v>202</v>
      </c>
      <c r="Y3" s="18" t="s">
        <v>203</v>
      </c>
      <c r="Z3" s="18" t="s">
        <v>204</v>
      </c>
      <c r="AA3" s="97" t="s">
        <v>202</v>
      </c>
      <c r="AB3" s="18" t="s">
        <v>203</v>
      </c>
      <c r="AC3" s="18" t="s">
        <v>204</v>
      </c>
      <c r="AE3" s="17" t="s">
        <v>202</v>
      </c>
      <c r="AF3" s="17" t="s">
        <v>203</v>
      </c>
      <c r="AG3" s="17" t="s">
        <v>204</v>
      </c>
    </row>
    <row r="4" spans="1:36" x14ac:dyDescent="0.35">
      <c r="A4" s="2" t="s">
        <v>4</v>
      </c>
      <c r="B4" s="2" t="s">
        <v>5</v>
      </c>
      <c r="C4" t="s">
        <v>6</v>
      </c>
      <c r="D4" s="2" t="s">
        <v>7</v>
      </c>
      <c r="E4" t="s">
        <v>8</v>
      </c>
      <c r="F4" s="4">
        <v>174016</v>
      </c>
      <c r="G4" s="100">
        <f>H4+I4+J4</f>
        <v>174016</v>
      </c>
      <c r="H4" s="5"/>
      <c r="I4" s="5">
        <v>144504</v>
      </c>
      <c r="J4" s="5">
        <v>29512</v>
      </c>
      <c r="K4" s="6"/>
      <c r="L4" s="6">
        <v>144504</v>
      </c>
      <c r="M4" s="6">
        <v>29512</v>
      </c>
      <c r="N4" s="25"/>
      <c r="O4" s="6"/>
      <c r="P4" s="6"/>
      <c r="Q4" s="7"/>
      <c r="R4" s="7"/>
      <c r="S4" s="7"/>
      <c r="T4" s="23"/>
      <c r="U4" s="7"/>
      <c r="V4" s="7"/>
      <c r="X4" s="9"/>
      <c r="Y4" s="9"/>
      <c r="Z4" s="9"/>
      <c r="AA4" s="98"/>
      <c r="AB4" s="9"/>
      <c r="AC4" s="9"/>
      <c r="AE4" s="8"/>
      <c r="AF4" s="8"/>
      <c r="AG4" s="8"/>
      <c r="AH4" s="1"/>
      <c r="AI4" s="1"/>
      <c r="AJ4" s="1"/>
    </row>
    <row r="5" spans="1:36" x14ac:dyDescent="0.35">
      <c r="A5" s="2" t="s">
        <v>4</v>
      </c>
      <c r="B5" s="2" t="s">
        <v>5</v>
      </c>
      <c r="C5" t="s">
        <v>6</v>
      </c>
      <c r="D5" s="2" t="s">
        <v>9</v>
      </c>
      <c r="E5" t="s">
        <v>10</v>
      </c>
      <c r="F5" s="4">
        <v>72316</v>
      </c>
      <c r="G5" s="101">
        <f t="shared" ref="G5:G70" si="0">H5+I5+J5</f>
        <v>72316</v>
      </c>
      <c r="H5" s="5"/>
      <c r="I5" s="5">
        <v>56196</v>
      </c>
      <c r="J5" s="5">
        <v>16120</v>
      </c>
      <c r="K5" s="6"/>
      <c r="L5" s="6">
        <v>56196</v>
      </c>
      <c r="M5" s="6">
        <v>16120</v>
      </c>
      <c r="N5" s="25"/>
      <c r="O5" s="6"/>
      <c r="P5" s="6"/>
      <c r="Q5" s="7"/>
      <c r="R5" s="7"/>
      <c r="S5" s="7"/>
      <c r="T5" s="23"/>
      <c r="U5" s="7"/>
      <c r="V5" s="7"/>
      <c r="X5" s="9"/>
      <c r="Y5" s="9"/>
      <c r="Z5" s="9"/>
      <c r="AA5" s="98"/>
      <c r="AB5" s="9"/>
      <c r="AC5" s="9"/>
      <c r="AE5" s="8"/>
      <c r="AF5" s="8"/>
      <c r="AG5" s="8"/>
      <c r="AH5" s="1"/>
      <c r="AI5" s="1"/>
      <c r="AJ5" s="1"/>
    </row>
    <row r="6" spans="1:36" x14ac:dyDescent="0.35">
      <c r="A6" s="2" t="s">
        <v>4</v>
      </c>
      <c r="B6" s="2" t="s">
        <v>5</v>
      </c>
      <c r="C6" t="s">
        <v>11</v>
      </c>
      <c r="D6" s="2" t="s">
        <v>12</v>
      </c>
      <c r="E6" t="s">
        <v>13</v>
      </c>
      <c r="F6" s="4">
        <v>568260</v>
      </c>
      <c r="G6" s="101">
        <f t="shared" si="0"/>
        <v>286440</v>
      </c>
      <c r="H6" s="5">
        <v>286440</v>
      </c>
      <c r="I6" s="5"/>
      <c r="J6" s="5"/>
      <c r="K6" s="6">
        <v>286440</v>
      </c>
      <c r="L6" s="6"/>
      <c r="M6" s="6"/>
      <c r="N6" s="25"/>
      <c r="O6" s="6"/>
      <c r="P6" s="6"/>
      <c r="Q6" s="7"/>
      <c r="R6" s="7"/>
      <c r="S6" s="7"/>
      <c r="T6" s="23">
        <v>281820</v>
      </c>
      <c r="U6" s="7"/>
      <c r="V6" s="7"/>
      <c r="X6" s="9">
        <v>281820</v>
      </c>
      <c r="Y6" s="9"/>
      <c r="Z6" s="9"/>
      <c r="AA6" s="98"/>
      <c r="AB6" s="9"/>
      <c r="AC6" s="9"/>
      <c r="AE6" s="8"/>
      <c r="AF6" s="8"/>
      <c r="AG6" s="8"/>
      <c r="AH6" s="1"/>
      <c r="AI6" s="1"/>
      <c r="AJ6" s="1"/>
    </row>
    <row r="7" spans="1:36" x14ac:dyDescent="0.35">
      <c r="A7" s="2" t="s">
        <v>4</v>
      </c>
      <c r="B7" s="2" t="s">
        <v>5</v>
      </c>
      <c r="C7" t="s">
        <v>11</v>
      </c>
      <c r="D7" s="2" t="s">
        <v>14</v>
      </c>
      <c r="E7" t="s">
        <v>15</v>
      </c>
      <c r="F7" s="4">
        <v>1004000</v>
      </c>
      <c r="G7" s="101">
        <f t="shared" si="0"/>
        <v>807000</v>
      </c>
      <c r="H7" s="5">
        <v>744000</v>
      </c>
      <c r="I7" s="5">
        <v>63000</v>
      </c>
      <c r="J7" s="5"/>
      <c r="K7" s="6">
        <v>744000</v>
      </c>
      <c r="L7" s="6">
        <v>63000</v>
      </c>
      <c r="M7" s="6"/>
      <c r="N7" s="25"/>
      <c r="O7" s="6"/>
      <c r="P7" s="6"/>
      <c r="Q7" s="7"/>
      <c r="R7" s="7"/>
      <c r="S7" s="7"/>
      <c r="T7" s="23"/>
      <c r="U7" s="7">
        <v>50600</v>
      </c>
      <c r="V7" s="7">
        <v>146400</v>
      </c>
      <c r="X7" s="9"/>
      <c r="Y7" s="9">
        <v>63000</v>
      </c>
      <c r="Z7" s="9">
        <v>146400</v>
      </c>
      <c r="AA7" s="98"/>
      <c r="AB7" s="9">
        <v>12400</v>
      </c>
      <c r="AC7" s="9"/>
      <c r="AE7" s="8"/>
      <c r="AF7" s="8"/>
      <c r="AG7" s="8"/>
      <c r="AH7" s="1"/>
      <c r="AI7" s="1"/>
      <c r="AJ7" s="1"/>
    </row>
    <row r="8" spans="1:36" x14ac:dyDescent="0.35">
      <c r="A8" s="2" t="s">
        <v>4</v>
      </c>
      <c r="B8" s="2" t="s">
        <v>5</v>
      </c>
      <c r="C8" t="s">
        <v>11</v>
      </c>
      <c r="D8" s="2" t="s">
        <v>16</v>
      </c>
      <c r="E8" t="s">
        <v>17</v>
      </c>
      <c r="F8" s="4">
        <v>161600</v>
      </c>
      <c r="G8" s="101">
        <f t="shared" si="0"/>
        <v>161600</v>
      </c>
      <c r="H8" s="5"/>
      <c r="I8" s="5">
        <v>161600</v>
      </c>
      <c r="J8" s="5"/>
      <c r="K8" s="6"/>
      <c r="L8" s="6">
        <v>161600</v>
      </c>
      <c r="M8" s="6"/>
      <c r="N8" s="25"/>
      <c r="O8" s="6"/>
      <c r="P8" s="6"/>
      <c r="Q8" s="7"/>
      <c r="R8" s="7"/>
      <c r="S8" s="7"/>
      <c r="T8" s="23"/>
      <c r="U8" s="7"/>
      <c r="V8" s="7"/>
      <c r="X8" s="9"/>
      <c r="Y8" s="9"/>
      <c r="Z8" s="9"/>
      <c r="AA8" s="98"/>
      <c r="AB8" s="9"/>
      <c r="AC8" s="9"/>
      <c r="AE8" s="8"/>
      <c r="AF8" s="8"/>
      <c r="AG8" s="8"/>
      <c r="AH8" s="1"/>
      <c r="AI8" s="1"/>
      <c r="AJ8" s="1"/>
    </row>
    <row r="9" spans="1:36" x14ac:dyDescent="0.35">
      <c r="A9" s="2" t="s">
        <v>4</v>
      </c>
      <c r="B9" s="2" t="s">
        <v>5</v>
      </c>
      <c r="C9" t="s">
        <v>18</v>
      </c>
      <c r="D9" s="2" t="s">
        <v>19</v>
      </c>
      <c r="E9" t="s">
        <v>10</v>
      </c>
      <c r="F9" s="4">
        <v>163382</v>
      </c>
      <c r="G9" s="101">
        <f t="shared" si="0"/>
        <v>163382</v>
      </c>
      <c r="H9" s="5"/>
      <c r="I9" s="5">
        <v>131142</v>
      </c>
      <c r="J9" s="5">
        <v>32240</v>
      </c>
      <c r="K9" s="6"/>
      <c r="L9" s="6">
        <v>131142</v>
      </c>
      <c r="M9" s="6">
        <v>32240</v>
      </c>
      <c r="N9" s="25"/>
      <c r="O9" s="6"/>
      <c r="P9" s="6"/>
      <c r="Q9" s="7"/>
      <c r="R9" s="7"/>
      <c r="S9" s="7"/>
      <c r="T9" s="23"/>
      <c r="U9" s="7"/>
      <c r="V9" s="7"/>
      <c r="X9" s="9"/>
      <c r="Y9" s="9"/>
      <c r="Z9" s="9"/>
      <c r="AA9" s="98"/>
      <c r="AB9" s="9"/>
      <c r="AC9" s="9"/>
      <c r="AE9" s="8"/>
      <c r="AF9" s="8"/>
      <c r="AG9" s="8"/>
      <c r="AH9" s="1"/>
      <c r="AI9" s="1"/>
      <c r="AJ9" s="1"/>
    </row>
    <row r="10" spans="1:36" x14ac:dyDescent="0.35">
      <c r="A10" s="2" t="s">
        <v>4</v>
      </c>
      <c r="B10" s="2" t="s">
        <v>5</v>
      </c>
      <c r="D10" s="2" t="s">
        <v>20</v>
      </c>
      <c r="E10" t="s">
        <v>205</v>
      </c>
      <c r="F10" s="4">
        <v>183561</v>
      </c>
      <c r="G10" s="101">
        <f t="shared" si="0"/>
        <v>160880</v>
      </c>
      <c r="H10" s="5"/>
      <c r="I10" s="5">
        <v>80280</v>
      </c>
      <c r="J10" s="5">
        <v>80600</v>
      </c>
      <c r="K10" s="6"/>
      <c r="L10" s="6">
        <v>80280</v>
      </c>
      <c r="M10" s="6"/>
      <c r="N10" s="25"/>
      <c r="O10" s="6"/>
      <c r="P10" s="6">
        <v>80600</v>
      </c>
      <c r="Q10" s="7"/>
      <c r="R10" s="7"/>
      <c r="S10" s="7"/>
      <c r="T10" s="23"/>
      <c r="U10" s="7">
        <v>22681</v>
      </c>
      <c r="V10" s="7"/>
      <c r="X10" s="9"/>
      <c r="Y10" s="9">
        <v>70000</v>
      </c>
      <c r="Z10" s="9">
        <v>79300</v>
      </c>
      <c r="AA10" s="98"/>
      <c r="AB10" s="9">
        <v>47319</v>
      </c>
      <c r="AC10" s="9"/>
      <c r="AE10" s="8"/>
      <c r="AF10" s="8"/>
      <c r="AG10" s="8"/>
      <c r="AH10" s="1"/>
      <c r="AI10" s="1"/>
      <c r="AJ10" s="1"/>
    </row>
    <row r="11" spans="1:36" x14ac:dyDescent="0.35">
      <c r="A11" s="2" t="s">
        <v>4</v>
      </c>
      <c r="B11" s="2" t="s">
        <v>5</v>
      </c>
      <c r="D11" s="2" t="s">
        <v>23</v>
      </c>
      <c r="E11" t="s">
        <v>24</v>
      </c>
      <c r="F11" s="4"/>
      <c r="G11" s="101"/>
      <c r="H11" s="5"/>
      <c r="I11" s="5"/>
      <c r="J11" s="5"/>
      <c r="K11" s="6"/>
      <c r="L11" s="6"/>
      <c r="M11" s="6"/>
      <c r="N11" s="25"/>
      <c r="O11" s="6"/>
      <c r="P11" s="6"/>
      <c r="Q11" s="7"/>
      <c r="R11" s="7"/>
      <c r="S11" s="7"/>
      <c r="T11" s="23"/>
      <c r="U11" s="7"/>
      <c r="V11" s="7"/>
      <c r="X11" s="9"/>
      <c r="Y11" s="9"/>
      <c r="Z11" s="9">
        <v>97600</v>
      </c>
      <c r="AA11" s="98"/>
      <c r="AB11" s="9"/>
      <c r="AC11" s="9">
        <v>97600</v>
      </c>
      <c r="AD11" t="s">
        <v>343</v>
      </c>
      <c r="AE11" s="8"/>
      <c r="AF11" s="8"/>
      <c r="AG11" s="8"/>
      <c r="AH11" s="1"/>
      <c r="AI11" s="1"/>
      <c r="AJ11" s="1"/>
    </row>
    <row r="12" spans="1:36" x14ac:dyDescent="0.35">
      <c r="A12" s="2" t="s">
        <v>4</v>
      </c>
      <c r="B12" s="2" t="s">
        <v>5</v>
      </c>
      <c r="D12" s="2" t="s">
        <v>25</v>
      </c>
      <c r="E12" t="s">
        <v>10</v>
      </c>
      <c r="F12" s="4">
        <v>109542</v>
      </c>
      <c r="G12" s="101">
        <f t="shared" si="0"/>
        <v>109542</v>
      </c>
      <c r="H12" s="5"/>
      <c r="I12" s="5">
        <v>66142</v>
      </c>
      <c r="J12" s="5">
        <v>43400</v>
      </c>
      <c r="K12" s="6"/>
      <c r="L12" s="6">
        <v>66142</v>
      </c>
      <c r="M12" s="6">
        <v>43400</v>
      </c>
      <c r="N12" s="25"/>
      <c r="O12" s="6"/>
      <c r="P12" s="6"/>
      <c r="Q12" s="7"/>
      <c r="R12" s="7"/>
      <c r="S12" s="7"/>
      <c r="T12" s="23"/>
      <c r="U12" s="7"/>
      <c r="V12" s="7"/>
      <c r="X12" s="9"/>
      <c r="Y12" s="9"/>
      <c r="Z12" s="9"/>
      <c r="AA12" s="98"/>
      <c r="AB12" s="9"/>
      <c r="AC12" s="9"/>
      <c r="AE12" s="8"/>
      <c r="AF12" s="8"/>
      <c r="AG12" s="8"/>
      <c r="AH12" s="1"/>
      <c r="AI12" s="1"/>
      <c r="AJ12" s="1"/>
    </row>
    <row r="13" spans="1:36" x14ac:dyDescent="0.35">
      <c r="A13" s="2" t="s">
        <v>4</v>
      </c>
      <c r="B13" s="2" t="s">
        <v>26</v>
      </c>
      <c r="C13" t="s">
        <v>27</v>
      </c>
      <c r="D13" s="2" t="s">
        <v>28</v>
      </c>
      <c r="E13" t="s">
        <v>29</v>
      </c>
      <c r="F13" s="4">
        <v>93000</v>
      </c>
      <c r="G13" s="101">
        <f t="shared" si="0"/>
        <v>93000</v>
      </c>
      <c r="H13" s="5">
        <v>93000</v>
      </c>
      <c r="I13" s="5"/>
      <c r="J13" s="5"/>
      <c r="K13" s="6"/>
      <c r="L13" s="6"/>
      <c r="M13" s="6"/>
      <c r="N13" s="25">
        <v>93000</v>
      </c>
      <c r="O13" s="6"/>
      <c r="P13" s="6"/>
      <c r="Q13" s="7"/>
      <c r="R13" s="7"/>
      <c r="S13" s="7"/>
      <c r="T13" s="23"/>
      <c r="U13" s="7"/>
      <c r="V13" s="7"/>
      <c r="X13" s="9">
        <v>91500</v>
      </c>
      <c r="Y13" s="9"/>
      <c r="Z13" s="9"/>
      <c r="AA13" s="98"/>
      <c r="AB13" s="9"/>
      <c r="AC13" s="9"/>
      <c r="AE13" s="8">
        <v>90000</v>
      </c>
      <c r="AF13" s="8"/>
      <c r="AG13" s="8"/>
      <c r="AH13" s="1"/>
      <c r="AI13" s="1"/>
      <c r="AJ13" s="1"/>
    </row>
    <row r="14" spans="1:36" x14ac:dyDescent="0.35">
      <c r="A14" s="2" t="s">
        <v>4</v>
      </c>
      <c r="B14" s="2" t="s">
        <v>26</v>
      </c>
      <c r="D14" s="2" t="s">
        <v>30</v>
      </c>
      <c r="E14" t="s">
        <v>31</v>
      </c>
      <c r="F14" s="4">
        <v>132123.01999999999</v>
      </c>
      <c r="G14" s="101">
        <f t="shared" si="0"/>
        <v>49600</v>
      </c>
      <c r="H14" s="5"/>
      <c r="I14" s="5"/>
      <c r="J14" s="5">
        <v>49600</v>
      </c>
      <c r="K14" s="6"/>
      <c r="L14" s="6"/>
      <c r="M14" s="6">
        <v>35576.839999999997</v>
      </c>
      <c r="N14" s="25"/>
      <c r="O14" s="6"/>
      <c r="P14" s="6">
        <v>14023.16</v>
      </c>
      <c r="Q14" s="7"/>
      <c r="R14" s="7"/>
      <c r="S14" s="7">
        <v>47520</v>
      </c>
      <c r="T14" s="23"/>
      <c r="U14" s="7"/>
      <c r="V14" s="7">
        <v>35003.019999999997</v>
      </c>
      <c r="X14" s="9"/>
      <c r="Y14" s="9"/>
      <c r="Z14" s="9">
        <v>48800</v>
      </c>
      <c r="AA14" s="98"/>
      <c r="AB14" s="9"/>
      <c r="AC14" s="9"/>
      <c r="AE14" s="8"/>
      <c r="AF14" s="8"/>
      <c r="AG14" s="8">
        <v>47520</v>
      </c>
      <c r="AH14" s="1"/>
      <c r="AI14" s="1"/>
      <c r="AJ14" s="1"/>
    </row>
    <row r="15" spans="1:36" x14ac:dyDescent="0.35">
      <c r="A15" s="2" t="s">
        <v>4</v>
      </c>
      <c r="B15" s="2" t="s">
        <v>26</v>
      </c>
      <c r="D15" s="2" t="s">
        <v>32</v>
      </c>
      <c r="E15" t="s">
        <v>33</v>
      </c>
      <c r="F15" s="4">
        <v>123021.92</v>
      </c>
      <c r="G15" s="101">
        <f t="shared" si="0"/>
        <v>63359.040000000001</v>
      </c>
      <c r="H15" s="5"/>
      <c r="I15" s="5"/>
      <c r="J15" s="5">
        <v>63359.040000000001</v>
      </c>
      <c r="K15" s="6"/>
      <c r="L15" s="6"/>
      <c r="M15" s="6"/>
      <c r="N15" s="25"/>
      <c r="O15" s="6"/>
      <c r="P15" s="6">
        <v>63359.040000000001</v>
      </c>
      <c r="Q15" s="7"/>
      <c r="R15" s="7"/>
      <c r="S15" s="7"/>
      <c r="T15" s="23"/>
      <c r="U15" s="7"/>
      <c r="V15" s="7">
        <v>59662.879999999997</v>
      </c>
      <c r="X15" s="9"/>
      <c r="Y15" s="9"/>
      <c r="Z15" s="9">
        <v>122000</v>
      </c>
      <c r="AA15" s="98"/>
      <c r="AB15" s="9"/>
      <c r="AC15" s="9"/>
      <c r="AE15" s="8"/>
      <c r="AF15" s="8"/>
      <c r="AG15" s="8">
        <v>60000</v>
      </c>
      <c r="AH15" s="1"/>
      <c r="AI15" s="1"/>
      <c r="AJ15" s="1"/>
    </row>
    <row r="16" spans="1:36" x14ac:dyDescent="0.35">
      <c r="A16" s="2" t="s">
        <v>4</v>
      </c>
      <c r="B16" s="2" t="s">
        <v>26</v>
      </c>
      <c r="D16" s="2" t="s">
        <v>34</v>
      </c>
      <c r="E16" t="s">
        <v>35</v>
      </c>
      <c r="F16" s="4"/>
      <c r="G16" s="101"/>
      <c r="H16" s="5"/>
      <c r="I16" s="5"/>
      <c r="J16" s="5"/>
      <c r="K16" s="6"/>
      <c r="L16" s="6"/>
      <c r="M16" s="6"/>
      <c r="N16" s="25"/>
      <c r="O16" s="6"/>
      <c r="P16" s="6"/>
      <c r="Q16" s="7"/>
      <c r="R16" s="7"/>
      <c r="S16" s="7"/>
      <c r="T16" s="23"/>
      <c r="U16" s="7"/>
      <c r="V16" s="7"/>
      <c r="X16" s="9"/>
      <c r="Y16" s="9"/>
      <c r="Z16" s="9">
        <v>61000</v>
      </c>
      <c r="AA16" s="98"/>
      <c r="AB16" s="9"/>
      <c r="AC16" s="9">
        <v>61000</v>
      </c>
      <c r="AD16" t="s">
        <v>343</v>
      </c>
      <c r="AE16" s="8"/>
      <c r="AF16" s="8"/>
      <c r="AG16" s="8">
        <v>60000</v>
      </c>
      <c r="AH16" s="1"/>
      <c r="AI16" s="1"/>
      <c r="AJ16" s="1"/>
    </row>
    <row r="17" spans="1:36" x14ac:dyDescent="0.35">
      <c r="A17" s="2" t="s">
        <v>4</v>
      </c>
      <c r="B17" s="2" t="s">
        <v>26</v>
      </c>
      <c r="D17" s="2" t="s">
        <v>36</v>
      </c>
      <c r="E17" t="s">
        <v>37</v>
      </c>
      <c r="F17" s="4">
        <v>54896.38</v>
      </c>
      <c r="G17" s="101">
        <f t="shared" si="0"/>
        <v>18600</v>
      </c>
      <c r="H17" s="5"/>
      <c r="I17" s="5"/>
      <c r="J17" s="5">
        <v>18600</v>
      </c>
      <c r="K17" s="6"/>
      <c r="L17" s="6"/>
      <c r="M17" s="6">
        <v>18600</v>
      </c>
      <c r="N17" s="25"/>
      <c r="O17" s="6"/>
      <c r="P17" s="6"/>
      <c r="Q17" s="7"/>
      <c r="R17" s="7"/>
      <c r="S17" s="7">
        <v>17997.599999999999</v>
      </c>
      <c r="T17" s="23"/>
      <c r="U17" s="7"/>
      <c r="V17" s="7">
        <v>18298.78</v>
      </c>
      <c r="X17" s="9"/>
      <c r="Y17" s="9"/>
      <c r="Z17" s="9">
        <v>18300</v>
      </c>
      <c r="AA17" s="98"/>
      <c r="AB17" s="9"/>
      <c r="AC17" s="9">
        <v>1.2200000000011644</v>
      </c>
      <c r="AE17" s="8"/>
      <c r="AF17" s="8"/>
      <c r="AG17" s="8">
        <v>17997.599999999999</v>
      </c>
      <c r="AH17" s="1"/>
      <c r="AI17" s="1"/>
      <c r="AJ17" s="1"/>
    </row>
    <row r="18" spans="1:36" x14ac:dyDescent="0.35">
      <c r="A18" s="2" t="s">
        <v>4</v>
      </c>
      <c r="B18" s="2" t="s">
        <v>26</v>
      </c>
      <c r="D18" s="2" t="s">
        <v>38</v>
      </c>
      <c r="E18" t="s">
        <v>39</v>
      </c>
      <c r="F18" s="4">
        <v>73763.399999999994</v>
      </c>
      <c r="G18" s="101">
        <f t="shared" si="0"/>
        <v>37200</v>
      </c>
      <c r="H18" s="5"/>
      <c r="I18" s="5"/>
      <c r="J18" s="5">
        <v>37200</v>
      </c>
      <c r="K18" s="6"/>
      <c r="L18" s="6"/>
      <c r="M18" s="6">
        <v>37200</v>
      </c>
      <c r="N18" s="25"/>
      <c r="O18" s="6"/>
      <c r="P18" s="6"/>
      <c r="Q18" s="7"/>
      <c r="R18" s="7"/>
      <c r="S18" s="7"/>
      <c r="T18" s="23"/>
      <c r="U18" s="7"/>
      <c r="V18" s="7">
        <v>36563.4</v>
      </c>
      <c r="X18" s="9"/>
      <c r="Y18" s="9"/>
      <c r="Z18" s="9">
        <v>36597.56</v>
      </c>
      <c r="AA18" s="98"/>
      <c r="AB18" s="9"/>
      <c r="AC18" s="9">
        <v>34.159999999996217</v>
      </c>
      <c r="AE18" s="8"/>
      <c r="AF18" s="8"/>
      <c r="AG18" s="8"/>
      <c r="AH18" s="1"/>
      <c r="AI18" s="1"/>
      <c r="AJ18" s="1"/>
    </row>
    <row r="19" spans="1:36" x14ac:dyDescent="0.35">
      <c r="A19" s="2" t="s">
        <v>4</v>
      </c>
      <c r="B19" s="2" t="s">
        <v>40</v>
      </c>
      <c r="D19" s="2" t="s">
        <v>41</v>
      </c>
      <c r="E19" t="s">
        <v>382</v>
      </c>
      <c r="F19" s="4">
        <f>G19</f>
        <v>99513</v>
      </c>
      <c r="G19" s="101">
        <f t="shared" si="0"/>
        <v>99513</v>
      </c>
      <c r="H19" s="5">
        <f>K19</f>
        <v>9600</v>
      </c>
      <c r="I19" s="5"/>
      <c r="J19" s="5">
        <f t="shared" ref="J19" si="1">M19</f>
        <v>89913</v>
      </c>
      <c r="K19" s="6">
        <f>49600-K20</f>
        <v>9600</v>
      </c>
      <c r="L19" s="6"/>
      <c r="M19" s="6">
        <f>161200-22987-48300</f>
        <v>89913</v>
      </c>
      <c r="N19" s="25"/>
      <c r="O19" s="6"/>
      <c r="P19" s="6"/>
      <c r="Q19" s="7"/>
      <c r="R19" s="7"/>
      <c r="S19" s="7"/>
      <c r="T19" s="23"/>
      <c r="U19" s="7"/>
      <c r="V19" s="7"/>
      <c r="X19" s="9"/>
      <c r="Y19" s="9"/>
      <c r="Z19" s="9"/>
      <c r="AA19" s="98"/>
      <c r="AB19" s="9"/>
      <c r="AC19" s="9"/>
      <c r="AE19" s="8"/>
      <c r="AF19" s="8"/>
      <c r="AG19" s="8"/>
      <c r="AH19" s="1"/>
      <c r="AI19" s="1"/>
      <c r="AJ19" s="1"/>
    </row>
    <row r="20" spans="1:36" x14ac:dyDescent="0.35">
      <c r="A20" s="2" t="s">
        <v>4</v>
      </c>
      <c r="B20" s="2" t="s">
        <v>40</v>
      </c>
      <c r="C20" t="s">
        <v>337</v>
      </c>
      <c r="D20" s="2" t="s">
        <v>41</v>
      </c>
      <c r="E20" t="s">
        <v>382</v>
      </c>
      <c r="F20" s="4">
        <f>G20</f>
        <v>258300</v>
      </c>
      <c r="G20" s="101">
        <f>H20+I20+J20</f>
        <v>258300</v>
      </c>
      <c r="H20" s="5">
        <f>K20</f>
        <v>40000</v>
      </c>
      <c r="I20" s="5">
        <f t="shared" ref="I20" si="2">L20</f>
        <v>170000</v>
      </c>
      <c r="J20" s="5">
        <f t="shared" ref="J20" si="3">M20</f>
        <v>48300</v>
      </c>
      <c r="K20" s="6">
        <v>40000</v>
      </c>
      <c r="L20" s="6">
        <v>170000</v>
      </c>
      <c r="M20" s="6">
        <f>40000+8300</f>
        <v>48300</v>
      </c>
      <c r="N20" s="25"/>
      <c r="O20" s="6"/>
      <c r="P20" s="6"/>
      <c r="Q20" s="7"/>
      <c r="R20" s="7"/>
      <c r="S20" s="7"/>
      <c r="T20" s="23"/>
      <c r="U20" s="7"/>
      <c r="V20" s="7"/>
      <c r="X20" s="9"/>
      <c r="Y20" s="9"/>
      <c r="Z20" s="9"/>
      <c r="AA20" s="98"/>
      <c r="AB20" s="9"/>
      <c r="AC20" s="9"/>
      <c r="AE20" s="8"/>
      <c r="AF20" s="8"/>
      <c r="AG20" s="8"/>
      <c r="AH20" s="1"/>
      <c r="AI20" s="1"/>
      <c r="AJ20" s="1"/>
    </row>
    <row r="21" spans="1:36" x14ac:dyDescent="0.35">
      <c r="A21" s="2" t="s">
        <v>4</v>
      </c>
      <c r="B21" s="2" t="s">
        <v>40</v>
      </c>
      <c r="D21" s="2" t="s">
        <v>42</v>
      </c>
      <c r="E21" t="s">
        <v>43</v>
      </c>
      <c r="F21" s="4">
        <v>61709.52</v>
      </c>
      <c r="G21" s="101">
        <f t="shared" si="0"/>
        <v>43990.239999999998</v>
      </c>
      <c r="H21" s="5"/>
      <c r="I21" s="5"/>
      <c r="J21" s="5">
        <v>43990.239999999998</v>
      </c>
      <c r="K21" s="6"/>
      <c r="L21" s="6"/>
      <c r="M21" s="6"/>
      <c r="N21" s="25"/>
      <c r="O21" s="6"/>
      <c r="P21" s="6">
        <v>43990.239999999998</v>
      </c>
      <c r="Q21" s="7"/>
      <c r="R21" s="7"/>
      <c r="S21" s="7"/>
      <c r="T21" s="23"/>
      <c r="U21" s="7"/>
      <c r="V21" s="7">
        <v>17719.28</v>
      </c>
      <c r="X21" s="9"/>
      <c r="Y21" s="9"/>
      <c r="Z21" s="9">
        <v>61000</v>
      </c>
      <c r="AA21" s="98"/>
      <c r="AB21" s="9"/>
      <c r="AC21" s="9"/>
      <c r="AE21" s="8"/>
      <c r="AF21" s="8"/>
      <c r="AG21" s="8">
        <v>60000</v>
      </c>
      <c r="AH21" s="1"/>
      <c r="AI21" s="1"/>
      <c r="AJ21" s="1"/>
    </row>
    <row r="22" spans="1:36" x14ac:dyDescent="0.35">
      <c r="A22" s="2" t="s">
        <v>4</v>
      </c>
      <c r="B22" s="2" t="s">
        <v>40</v>
      </c>
      <c r="D22" s="2" t="s">
        <v>44</v>
      </c>
      <c r="E22" t="s">
        <v>45</v>
      </c>
      <c r="F22" s="4">
        <v>321970.60000000003</v>
      </c>
      <c r="G22" s="101">
        <f t="shared" si="0"/>
        <v>295777.2</v>
      </c>
      <c r="H22" s="5"/>
      <c r="I22" s="5"/>
      <c r="J22" s="5">
        <v>295777.2</v>
      </c>
      <c r="K22" s="6"/>
      <c r="L22" s="6"/>
      <c r="M22" s="6">
        <v>198400</v>
      </c>
      <c r="N22" s="25"/>
      <c r="O22" s="6"/>
      <c r="P22" s="6">
        <v>97377.2</v>
      </c>
      <c r="Q22" s="7"/>
      <c r="R22" s="7"/>
      <c r="S22" s="7"/>
      <c r="T22" s="23"/>
      <c r="U22" s="7"/>
      <c r="V22" s="7">
        <v>26193.399999999998</v>
      </c>
      <c r="X22" s="9"/>
      <c r="Y22" s="9"/>
      <c r="Z22" s="9">
        <v>122000</v>
      </c>
      <c r="AA22" s="98"/>
      <c r="AB22" s="9"/>
      <c r="AC22" s="9"/>
      <c r="AE22" s="8"/>
      <c r="AF22" s="8"/>
      <c r="AG22" s="8">
        <v>120000</v>
      </c>
      <c r="AH22" s="1"/>
      <c r="AI22" s="1"/>
      <c r="AJ22" s="1"/>
    </row>
    <row r="23" spans="1:36" x14ac:dyDescent="0.35">
      <c r="A23" s="2" t="s">
        <v>4</v>
      </c>
      <c r="B23" s="2" t="s">
        <v>40</v>
      </c>
      <c r="D23" s="2" t="s">
        <v>46</v>
      </c>
      <c r="E23" t="s">
        <v>47</v>
      </c>
      <c r="F23" s="4">
        <v>166610.38</v>
      </c>
      <c r="G23" s="101">
        <f t="shared" si="0"/>
        <v>118443.56</v>
      </c>
      <c r="H23" s="5"/>
      <c r="I23" s="5"/>
      <c r="J23" s="5">
        <v>118443.56</v>
      </c>
      <c r="K23" s="6"/>
      <c r="L23" s="6"/>
      <c r="M23" s="6"/>
      <c r="N23" s="25"/>
      <c r="O23" s="6"/>
      <c r="P23" s="6">
        <v>118443.56</v>
      </c>
      <c r="Q23" s="7"/>
      <c r="R23" s="7"/>
      <c r="S23" s="7"/>
      <c r="T23" s="23"/>
      <c r="U23" s="7"/>
      <c r="V23" s="7">
        <v>48166.82</v>
      </c>
      <c r="X23" s="9"/>
      <c r="Y23" s="9"/>
      <c r="Z23" s="9">
        <v>164700</v>
      </c>
      <c r="AA23" s="98"/>
      <c r="AB23" s="9"/>
      <c r="AC23" s="9"/>
      <c r="AE23" s="8"/>
      <c r="AF23" s="8"/>
      <c r="AG23" s="8">
        <v>162000</v>
      </c>
      <c r="AH23" s="1"/>
      <c r="AI23" s="1"/>
      <c r="AJ23" s="1"/>
    </row>
    <row r="24" spans="1:36" x14ac:dyDescent="0.35">
      <c r="A24" s="2" t="s">
        <v>4</v>
      </c>
      <c r="B24" s="2" t="s">
        <v>40</v>
      </c>
      <c r="D24" s="2" t="s">
        <v>48</v>
      </c>
      <c r="E24" t="s">
        <v>49</v>
      </c>
      <c r="F24" s="4">
        <v>1177752.8</v>
      </c>
      <c r="G24" s="101">
        <f t="shared" si="0"/>
        <v>1162673.6000000001</v>
      </c>
      <c r="H24" s="5"/>
      <c r="I24" s="5"/>
      <c r="J24" s="5">
        <v>1162673.6000000001</v>
      </c>
      <c r="K24" s="6"/>
      <c r="L24" s="6"/>
      <c r="M24" s="6">
        <v>744000</v>
      </c>
      <c r="N24" s="25"/>
      <c r="O24" s="6"/>
      <c r="P24" s="6">
        <v>418673.6</v>
      </c>
      <c r="Q24" s="7"/>
      <c r="R24" s="7"/>
      <c r="S24" s="7"/>
      <c r="T24" s="23"/>
      <c r="U24" s="7"/>
      <c r="V24" s="7">
        <v>15079.199999999999</v>
      </c>
      <c r="X24" s="9"/>
      <c r="Y24" s="9"/>
      <c r="Z24" s="9">
        <v>427000</v>
      </c>
      <c r="AA24" s="98"/>
      <c r="AB24" s="9"/>
      <c r="AC24" s="9"/>
      <c r="AE24" s="8"/>
      <c r="AF24" s="8"/>
      <c r="AG24" s="8">
        <v>54000</v>
      </c>
      <c r="AH24" s="1"/>
      <c r="AI24" s="1"/>
      <c r="AJ24" s="1"/>
    </row>
    <row r="25" spans="1:36" x14ac:dyDescent="0.35">
      <c r="A25" s="2" t="s">
        <v>4</v>
      </c>
      <c r="B25" s="2" t="s">
        <v>40</v>
      </c>
      <c r="D25" s="2" t="s">
        <v>50</v>
      </c>
      <c r="E25" t="s">
        <v>51</v>
      </c>
      <c r="F25" s="4">
        <v>91140</v>
      </c>
      <c r="G25" s="101">
        <f t="shared" si="0"/>
        <v>51000</v>
      </c>
      <c r="H25" s="5"/>
      <c r="I25" s="5">
        <v>51000</v>
      </c>
      <c r="J25" s="5"/>
      <c r="K25" s="6"/>
      <c r="L25" s="6">
        <v>51000</v>
      </c>
      <c r="M25" s="6"/>
      <c r="N25" s="25"/>
      <c r="O25" s="6"/>
      <c r="P25" s="6"/>
      <c r="Q25" s="7"/>
      <c r="R25" s="7"/>
      <c r="S25" s="7"/>
      <c r="T25" s="23"/>
      <c r="U25" s="7">
        <v>40140</v>
      </c>
      <c r="V25" s="7"/>
      <c r="X25" s="9"/>
      <c r="Y25" s="9">
        <v>40140</v>
      </c>
      <c r="Z25" s="9"/>
      <c r="AA25" s="98"/>
      <c r="AB25" s="9"/>
      <c r="AC25" s="9"/>
      <c r="AE25" s="8"/>
      <c r="AF25" s="8"/>
      <c r="AG25" s="8"/>
      <c r="AH25" s="1"/>
      <c r="AI25" s="1"/>
      <c r="AJ25" s="1"/>
    </row>
    <row r="26" spans="1:36" x14ac:dyDescent="0.35">
      <c r="A26" s="2" t="s">
        <v>4</v>
      </c>
      <c r="B26" s="2" t="s">
        <v>40</v>
      </c>
      <c r="D26" s="2" t="s">
        <v>52</v>
      </c>
      <c r="E26" t="s">
        <v>53</v>
      </c>
      <c r="F26" s="4">
        <v>148219.84</v>
      </c>
      <c r="G26" s="101">
        <f t="shared" si="0"/>
        <v>112830.08</v>
      </c>
      <c r="H26" s="5"/>
      <c r="I26" s="5"/>
      <c r="J26" s="5">
        <v>112830.08</v>
      </c>
      <c r="K26" s="6"/>
      <c r="L26" s="6"/>
      <c r="M26" s="6"/>
      <c r="N26" s="25"/>
      <c r="O26" s="6"/>
      <c r="P26" s="6">
        <v>112830.08</v>
      </c>
      <c r="Q26" s="7"/>
      <c r="R26" s="7"/>
      <c r="S26" s="7"/>
      <c r="T26" s="23"/>
      <c r="U26" s="7"/>
      <c r="V26" s="7">
        <v>35389.760000000002</v>
      </c>
      <c r="X26" s="9"/>
      <c r="Y26" s="9"/>
      <c r="Z26" s="9">
        <v>146400</v>
      </c>
      <c r="AA26" s="98"/>
      <c r="AB26" s="9"/>
      <c r="AC26" s="9"/>
      <c r="AE26" s="8"/>
      <c r="AF26" s="8"/>
      <c r="AG26" s="8">
        <v>144000</v>
      </c>
      <c r="AH26" s="1"/>
      <c r="AI26" s="1"/>
      <c r="AJ26" s="1"/>
    </row>
    <row r="27" spans="1:36" x14ac:dyDescent="0.35">
      <c r="A27" s="2" t="s">
        <v>4</v>
      </c>
      <c r="B27" s="2" t="s">
        <v>40</v>
      </c>
      <c r="D27" s="2" t="s">
        <v>54</v>
      </c>
      <c r="E27" t="s">
        <v>55</v>
      </c>
      <c r="F27" s="4">
        <v>99007.46</v>
      </c>
      <c r="G27" s="101">
        <f t="shared" si="0"/>
        <v>87262.52</v>
      </c>
      <c r="H27" s="5"/>
      <c r="I27" s="5"/>
      <c r="J27" s="5">
        <v>87262.52</v>
      </c>
      <c r="K27" s="6"/>
      <c r="L27" s="6"/>
      <c r="M27" s="6"/>
      <c r="N27" s="25"/>
      <c r="O27" s="6"/>
      <c r="P27" s="6">
        <v>87262.52</v>
      </c>
      <c r="Q27" s="7"/>
      <c r="R27" s="7"/>
      <c r="S27" s="7"/>
      <c r="T27" s="23"/>
      <c r="U27" s="7"/>
      <c r="V27" s="7">
        <v>11744.94</v>
      </c>
      <c r="X27" s="9"/>
      <c r="Y27" s="9"/>
      <c r="Z27" s="9">
        <v>97600</v>
      </c>
      <c r="AA27" s="98"/>
      <c r="AB27" s="9"/>
      <c r="AC27" s="9"/>
      <c r="AE27" s="8"/>
      <c r="AF27" s="8"/>
      <c r="AG27" s="8"/>
      <c r="AH27" s="1"/>
      <c r="AI27" s="1"/>
      <c r="AJ27" s="1"/>
    </row>
    <row r="28" spans="1:36" x14ac:dyDescent="0.35">
      <c r="A28" s="2" t="s">
        <v>4</v>
      </c>
      <c r="B28" s="2" t="s">
        <v>40</v>
      </c>
      <c r="D28" s="2" t="s">
        <v>56</v>
      </c>
      <c r="E28" t="s">
        <v>51</v>
      </c>
      <c r="F28" s="4">
        <v>106193</v>
      </c>
      <c r="G28" s="101">
        <f t="shared" si="0"/>
        <v>51000</v>
      </c>
      <c r="H28" s="5"/>
      <c r="I28" s="5">
        <v>51000</v>
      </c>
      <c r="J28" s="5"/>
      <c r="K28" s="6"/>
      <c r="L28" s="6">
        <v>51000</v>
      </c>
      <c r="M28" s="6"/>
      <c r="N28" s="25"/>
      <c r="O28" s="6"/>
      <c r="P28" s="6"/>
      <c r="Q28" s="7"/>
      <c r="R28" s="7"/>
      <c r="S28" s="7"/>
      <c r="T28" s="23"/>
      <c r="U28" s="7">
        <v>55193</v>
      </c>
      <c r="V28" s="7"/>
      <c r="X28" s="9"/>
      <c r="Y28" s="9">
        <v>55193</v>
      </c>
      <c r="Z28" s="9"/>
      <c r="AA28" s="98"/>
      <c r="AB28" s="9"/>
      <c r="AC28" s="9"/>
      <c r="AE28" s="8"/>
      <c r="AF28" s="8"/>
      <c r="AG28" s="8"/>
      <c r="AH28" s="1"/>
      <c r="AI28" s="1"/>
      <c r="AJ28" s="1"/>
    </row>
    <row r="29" spans="1:36" x14ac:dyDescent="0.35">
      <c r="A29" s="2" t="s">
        <v>4</v>
      </c>
      <c r="B29" s="2" t="s">
        <v>40</v>
      </c>
      <c r="D29" s="2" t="s">
        <v>57</v>
      </c>
      <c r="E29" t="s">
        <v>381</v>
      </c>
      <c r="F29" s="4">
        <f>V29+T29+G29</f>
        <v>202275.8</v>
      </c>
      <c r="G29" s="101">
        <f t="shared" si="0"/>
        <v>145899.6</v>
      </c>
      <c r="H29" s="5">
        <f>N29</f>
        <v>32972.800000000003</v>
      </c>
      <c r="I29" s="5"/>
      <c r="J29" s="5">
        <v>112926.8</v>
      </c>
      <c r="K29" s="6"/>
      <c r="L29" s="6"/>
      <c r="M29" s="6"/>
      <c r="N29" s="25">
        <f>52972.8-N30</f>
        <v>32972.800000000003</v>
      </c>
      <c r="O29" s="6"/>
      <c r="P29" s="6">
        <v>112926.8</v>
      </c>
      <c r="Q29" s="7"/>
      <c r="R29" s="7"/>
      <c r="S29" s="7"/>
      <c r="T29" s="23">
        <v>45481.599999999999</v>
      </c>
      <c r="U29" s="7"/>
      <c r="V29" s="7">
        <v>10894.6</v>
      </c>
      <c r="X29" s="9">
        <v>97600</v>
      </c>
      <c r="Y29" s="9"/>
      <c r="Z29" s="9">
        <v>122000</v>
      </c>
      <c r="AA29" s="98"/>
      <c r="AB29" s="9"/>
      <c r="AC29" s="9"/>
      <c r="AE29" s="8"/>
      <c r="AF29" s="8"/>
      <c r="AG29" s="8">
        <v>120000</v>
      </c>
      <c r="AH29" s="1"/>
      <c r="AI29" s="1"/>
      <c r="AJ29" s="1"/>
    </row>
    <row r="30" spans="1:36" x14ac:dyDescent="0.35">
      <c r="A30" s="2" t="s">
        <v>4</v>
      </c>
      <c r="B30" s="2" t="s">
        <v>40</v>
      </c>
      <c r="C30" t="s">
        <v>337</v>
      </c>
      <c r="D30" s="2" t="s">
        <v>57</v>
      </c>
      <c r="E30" t="s">
        <v>381</v>
      </c>
      <c r="F30" s="4">
        <f>G30</f>
        <v>20000</v>
      </c>
      <c r="G30" s="101">
        <f>H30</f>
        <v>20000</v>
      </c>
      <c r="H30" s="5">
        <f>N30</f>
        <v>20000</v>
      </c>
      <c r="I30" s="5"/>
      <c r="J30" s="5"/>
      <c r="K30" s="6"/>
      <c r="L30" s="6"/>
      <c r="M30" s="6"/>
      <c r="N30" s="25">
        <v>20000</v>
      </c>
      <c r="O30" s="6"/>
      <c r="P30" s="6"/>
      <c r="Q30" s="7"/>
      <c r="R30" s="7"/>
      <c r="S30" s="7"/>
      <c r="T30" s="23"/>
      <c r="U30" s="7"/>
      <c r="V30" s="7"/>
      <c r="X30" s="9"/>
      <c r="Y30" s="9"/>
      <c r="Z30" s="9"/>
      <c r="AA30" s="98"/>
      <c r="AB30" s="9"/>
      <c r="AC30" s="9"/>
      <c r="AE30" s="8"/>
      <c r="AF30" s="8"/>
      <c r="AG30" s="8"/>
      <c r="AH30" s="1"/>
      <c r="AI30" s="1"/>
      <c r="AJ30" s="1"/>
    </row>
    <row r="31" spans="1:36" x14ac:dyDescent="0.35">
      <c r="A31" s="2" t="s">
        <v>4</v>
      </c>
      <c r="B31" s="2" t="s">
        <v>40</v>
      </c>
      <c r="D31" s="2" t="s">
        <v>58</v>
      </c>
      <c r="E31" t="s">
        <v>59</v>
      </c>
      <c r="F31" s="4">
        <v>124000</v>
      </c>
      <c r="G31" s="101">
        <f t="shared" si="0"/>
        <v>124000</v>
      </c>
      <c r="H31" s="5"/>
      <c r="I31" s="5"/>
      <c r="J31" s="5">
        <v>124000</v>
      </c>
      <c r="K31" s="6"/>
      <c r="L31" s="6"/>
      <c r="M31" s="6">
        <v>124000</v>
      </c>
      <c r="N31" s="25"/>
      <c r="O31" s="6"/>
      <c r="P31" s="6"/>
      <c r="Q31" s="7"/>
      <c r="R31" s="7"/>
      <c r="S31" s="7"/>
      <c r="T31" s="23"/>
      <c r="U31" s="7"/>
      <c r="V31" s="7"/>
      <c r="X31" s="9"/>
      <c r="Y31" s="9"/>
      <c r="Z31" s="9"/>
      <c r="AA31" s="98"/>
      <c r="AB31" s="9"/>
      <c r="AC31" s="9"/>
      <c r="AE31" s="8"/>
      <c r="AF31" s="8"/>
      <c r="AG31" s="8"/>
      <c r="AH31" s="1"/>
      <c r="AI31" s="1"/>
      <c r="AJ31" s="1"/>
    </row>
    <row r="32" spans="1:36" x14ac:dyDescent="0.35">
      <c r="A32" s="2" t="s">
        <v>4</v>
      </c>
      <c r="B32" s="2" t="s">
        <v>40</v>
      </c>
      <c r="D32" s="2" t="s">
        <v>60</v>
      </c>
      <c r="E32" t="s">
        <v>61</v>
      </c>
      <c r="F32" s="4">
        <v>124000</v>
      </c>
      <c r="G32" s="101">
        <f t="shared" si="0"/>
        <v>124000</v>
      </c>
      <c r="H32" s="5"/>
      <c r="I32" s="5"/>
      <c r="J32" s="5">
        <v>124000</v>
      </c>
      <c r="K32" s="6"/>
      <c r="L32" s="6"/>
      <c r="M32" s="6">
        <v>124000</v>
      </c>
      <c r="N32" s="25"/>
      <c r="O32" s="6"/>
      <c r="P32" s="6"/>
      <c r="Q32" s="7"/>
      <c r="R32" s="7"/>
      <c r="S32" s="7"/>
      <c r="T32" s="23"/>
      <c r="U32" s="7"/>
      <c r="V32" s="7"/>
      <c r="X32" s="9"/>
      <c r="Y32" s="9"/>
      <c r="Z32" s="9"/>
      <c r="AA32" s="98"/>
      <c r="AB32" s="9"/>
      <c r="AC32" s="9"/>
      <c r="AE32" s="8"/>
      <c r="AF32" s="8"/>
      <c r="AG32" s="8"/>
      <c r="AH32" s="1"/>
      <c r="AI32" s="1"/>
      <c r="AJ32" s="1"/>
    </row>
    <row r="33" spans="1:36" x14ac:dyDescent="0.35">
      <c r="A33" s="2" t="s">
        <v>4</v>
      </c>
      <c r="B33" s="2" t="s">
        <v>62</v>
      </c>
      <c r="D33" s="2" t="s">
        <v>63</v>
      </c>
      <c r="E33" t="s">
        <v>64</v>
      </c>
      <c r="F33" s="4">
        <v>39368.199999999997</v>
      </c>
      <c r="G33" s="101">
        <f t="shared" si="0"/>
        <v>34720</v>
      </c>
      <c r="H33" s="5"/>
      <c r="I33" s="5"/>
      <c r="J33" s="5">
        <v>34720</v>
      </c>
      <c r="K33" s="6"/>
      <c r="L33" s="6"/>
      <c r="M33" s="6"/>
      <c r="N33" s="25"/>
      <c r="O33" s="6"/>
      <c r="P33" s="6">
        <v>34720</v>
      </c>
      <c r="Q33" s="7"/>
      <c r="R33" s="7"/>
      <c r="S33" s="7"/>
      <c r="T33" s="23"/>
      <c r="U33" s="7"/>
      <c r="V33" s="7">
        <v>4648.2</v>
      </c>
      <c r="X33" s="9"/>
      <c r="Y33" s="9"/>
      <c r="Z33" s="9">
        <v>39040</v>
      </c>
      <c r="AA33" s="98"/>
      <c r="AB33" s="9"/>
      <c r="AC33" s="9">
        <v>231.80000000000445</v>
      </c>
      <c r="AE33" s="8"/>
      <c r="AF33" s="8"/>
      <c r="AG33" s="8"/>
      <c r="AH33" s="1"/>
      <c r="AI33" s="1"/>
      <c r="AJ33" s="1"/>
    </row>
    <row r="34" spans="1:36" x14ac:dyDescent="0.35">
      <c r="A34" s="2" t="s">
        <v>4</v>
      </c>
      <c r="B34" s="2" t="s">
        <v>62</v>
      </c>
      <c r="D34" s="2" t="s">
        <v>65</v>
      </c>
      <c r="E34" t="s">
        <v>66</v>
      </c>
      <c r="F34" s="4">
        <v>337900</v>
      </c>
      <c r="G34" s="101">
        <f t="shared" si="0"/>
        <v>239200</v>
      </c>
      <c r="H34" s="5"/>
      <c r="I34" s="5">
        <v>239200</v>
      </c>
      <c r="J34" s="5"/>
      <c r="K34" s="6"/>
      <c r="L34" s="6">
        <v>239200</v>
      </c>
      <c r="M34" s="6"/>
      <c r="N34" s="25"/>
      <c r="O34" s="6"/>
      <c r="P34" s="6"/>
      <c r="Q34" s="7"/>
      <c r="R34" s="7"/>
      <c r="S34" s="7"/>
      <c r="T34" s="23"/>
      <c r="U34" s="7">
        <v>98700</v>
      </c>
      <c r="V34" s="7"/>
      <c r="X34" s="9"/>
      <c r="Y34" s="9">
        <v>239200</v>
      </c>
      <c r="Z34" s="9"/>
      <c r="AA34" s="98"/>
      <c r="AB34" s="9">
        <v>140500</v>
      </c>
      <c r="AC34" s="9"/>
      <c r="AE34" s="8"/>
      <c r="AF34" s="8"/>
      <c r="AG34" s="8"/>
      <c r="AH34" s="1"/>
      <c r="AI34" s="1"/>
      <c r="AJ34" s="1"/>
    </row>
    <row r="35" spans="1:36" x14ac:dyDescent="0.35">
      <c r="A35" s="2" t="s">
        <v>4</v>
      </c>
      <c r="B35" s="2" t="s">
        <v>62</v>
      </c>
      <c r="D35" s="2" t="s">
        <v>67</v>
      </c>
      <c r="E35" t="s">
        <v>68</v>
      </c>
      <c r="F35" s="4">
        <v>49600</v>
      </c>
      <c r="G35" s="101">
        <f t="shared" si="0"/>
        <v>49600</v>
      </c>
      <c r="H35" s="5"/>
      <c r="I35" s="5"/>
      <c r="J35" s="5">
        <v>49600</v>
      </c>
      <c r="K35" s="6"/>
      <c r="L35" s="6"/>
      <c r="M35" s="6"/>
      <c r="N35" s="25"/>
      <c r="O35" s="6"/>
      <c r="P35" s="6">
        <v>49600</v>
      </c>
      <c r="Q35" s="7"/>
      <c r="R35" s="7"/>
      <c r="S35" s="7"/>
      <c r="T35" s="23"/>
      <c r="U35" s="7"/>
      <c r="V35" s="7"/>
      <c r="X35" s="9"/>
      <c r="Y35" s="9"/>
      <c r="Z35" s="9">
        <v>48800</v>
      </c>
      <c r="AA35" s="98"/>
      <c r="AB35" s="9"/>
      <c r="AC35" s="9"/>
      <c r="AE35" s="8"/>
      <c r="AF35" s="8"/>
      <c r="AG35" s="8"/>
      <c r="AH35" s="1"/>
      <c r="AI35" s="1"/>
      <c r="AJ35" s="1"/>
    </row>
    <row r="36" spans="1:36" x14ac:dyDescent="0.35">
      <c r="A36" s="2" t="s">
        <v>4</v>
      </c>
      <c r="B36" s="2" t="s">
        <v>62</v>
      </c>
      <c r="D36" s="2" t="s">
        <v>69</v>
      </c>
      <c r="E36" t="s">
        <v>70</v>
      </c>
      <c r="F36" s="4">
        <v>37200</v>
      </c>
      <c r="G36" s="101">
        <f t="shared" si="0"/>
        <v>37200</v>
      </c>
      <c r="H36" s="5"/>
      <c r="I36" s="5"/>
      <c r="J36" s="5">
        <v>37200</v>
      </c>
      <c r="K36" s="6"/>
      <c r="L36" s="6"/>
      <c r="M36" s="6"/>
      <c r="N36" s="25"/>
      <c r="O36" s="6"/>
      <c r="P36" s="6">
        <v>37200</v>
      </c>
      <c r="Q36" s="7"/>
      <c r="R36" s="7"/>
      <c r="S36" s="7"/>
      <c r="T36" s="23"/>
      <c r="U36" s="7"/>
      <c r="V36" s="7"/>
      <c r="X36" s="9">
        <v>36600</v>
      </c>
      <c r="Y36" s="9"/>
      <c r="Z36" s="9"/>
      <c r="AA36" s="98">
        <v>36600</v>
      </c>
      <c r="AB36" s="9"/>
      <c r="AC36" s="9">
        <v>-36600</v>
      </c>
      <c r="AE36" s="8"/>
      <c r="AF36" s="8"/>
      <c r="AG36" s="8"/>
      <c r="AH36" s="1"/>
      <c r="AI36" s="1"/>
      <c r="AJ36" s="1"/>
    </row>
    <row r="37" spans="1:36" x14ac:dyDescent="0.35">
      <c r="A37" s="2" t="s">
        <v>4</v>
      </c>
      <c r="B37" s="2" t="s">
        <v>62</v>
      </c>
      <c r="D37" s="2" t="s">
        <v>71</v>
      </c>
      <c r="E37" t="s">
        <v>72</v>
      </c>
      <c r="F37" s="4">
        <v>49600</v>
      </c>
      <c r="G37" s="101">
        <f t="shared" si="0"/>
        <v>49600</v>
      </c>
      <c r="H37" s="5"/>
      <c r="I37" s="5"/>
      <c r="J37" s="5">
        <v>49600</v>
      </c>
      <c r="K37" s="6"/>
      <c r="L37" s="6"/>
      <c r="M37" s="6">
        <v>12400</v>
      </c>
      <c r="N37" s="25"/>
      <c r="O37" s="6"/>
      <c r="P37" s="6">
        <v>37200</v>
      </c>
      <c r="Q37" s="7"/>
      <c r="R37" s="7"/>
      <c r="S37" s="7"/>
      <c r="T37" s="23"/>
      <c r="U37" s="7"/>
      <c r="V37" s="7"/>
      <c r="X37" s="9"/>
      <c r="Y37" s="9"/>
      <c r="Z37" s="9">
        <v>36600</v>
      </c>
      <c r="AA37" s="98"/>
      <c r="AB37" s="9"/>
      <c r="AC37" s="9"/>
      <c r="AE37" s="8"/>
      <c r="AF37" s="8"/>
      <c r="AG37" s="8"/>
      <c r="AH37" s="1"/>
      <c r="AI37" s="1"/>
      <c r="AJ37" s="1"/>
    </row>
    <row r="38" spans="1:36" x14ac:dyDescent="0.35">
      <c r="A38" s="2" t="s">
        <v>4</v>
      </c>
      <c r="B38" s="2" t="s">
        <v>73</v>
      </c>
      <c r="D38" s="2" t="s">
        <v>74</v>
      </c>
      <c r="E38" t="s">
        <v>75</v>
      </c>
      <c r="F38" s="4" t="s">
        <v>201</v>
      </c>
      <c r="G38" s="101"/>
      <c r="H38" s="5"/>
      <c r="I38" s="5"/>
      <c r="J38" s="5"/>
      <c r="K38" s="6"/>
      <c r="L38" s="6"/>
      <c r="M38" s="6"/>
      <c r="N38" s="25"/>
      <c r="O38" s="6"/>
      <c r="P38" s="6"/>
      <c r="Q38" s="7"/>
      <c r="R38" s="7"/>
      <c r="S38" s="7"/>
      <c r="T38" s="23"/>
      <c r="U38" s="7"/>
      <c r="V38" s="7"/>
      <c r="X38" s="9"/>
      <c r="Y38" s="9"/>
      <c r="Z38" s="9">
        <v>61000</v>
      </c>
      <c r="AA38" s="98"/>
      <c r="AB38" s="9"/>
      <c r="AC38" s="9">
        <v>61000</v>
      </c>
      <c r="AD38" t="s">
        <v>343</v>
      </c>
      <c r="AE38" s="8"/>
      <c r="AF38" s="8"/>
      <c r="AG38" s="8"/>
      <c r="AH38" s="1"/>
      <c r="AI38" s="1"/>
      <c r="AJ38" s="1"/>
    </row>
    <row r="39" spans="1:36" x14ac:dyDescent="0.35">
      <c r="A39" s="2" t="s">
        <v>4</v>
      </c>
      <c r="B39" s="2" t="s">
        <v>76</v>
      </c>
      <c r="D39" s="2" t="s">
        <v>77</v>
      </c>
      <c r="E39" t="s">
        <v>78</v>
      </c>
      <c r="F39" s="4">
        <v>166364.28</v>
      </c>
      <c r="G39" s="101">
        <f t="shared" si="0"/>
        <v>113999.67999999999</v>
      </c>
      <c r="H39" s="5"/>
      <c r="I39" s="5">
        <v>59400</v>
      </c>
      <c r="J39" s="5">
        <v>54599.68</v>
      </c>
      <c r="K39" s="6"/>
      <c r="L39" s="6">
        <v>59400</v>
      </c>
      <c r="M39" s="6"/>
      <c r="N39" s="25"/>
      <c r="O39" s="6"/>
      <c r="P39" s="6">
        <v>54599.68</v>
      </c>
      <c r="Q39" s="7"/>
      <c r="R39" s="7"/>
      <c r="S39" s="7">
        <v>46953.599999999999</v>
      </c>
      <c r="T39" s="23"/>
      <c r="U39" s="7">
        <v>5411</v>
      </c>
      <c r="V39" s="7"/>
      <c r="X39" s="9"/>
      <c r="Y39" s="9">
        <v>59400</v>
      </c>
      <c r="Z39" s="9">
        <v>101455.2</v>
      </c>
      <c r="AA39" s="98"/>
      <c r="AB39" s="9">
        <v>53989</v>
      </c>
      <c r="AC39" s="9">
        <v>47736.159999999996</v>
      </c>
      <c r="AE39" s="8"/>
      <c r="AF39" s="8">
        <v>52182</v>
      </c>
      <c r="AG39" s="8">
        <v>146745.60000000001</v>
      </c>
      <c r="AH39" s="1"/>
      <c r="AI39" s="1"/>
      <c r="AJ39" s="1"/>
    </row>
    <row r="40" spans="1:36" x14ac:dyDescent="0.35">
      <c r="A40" s="2" t="s">
        <v>4</v>
      </c>
      <c r="B40" s="2" t="s">
        <v>79</v>
      </c>
      <c r="D40" s="2" t="s">
        <v>80</v>
      </c>
      <c r="E40" t="s">
        <v>81</v>
      </c>
      <c r="F40" s="4">
        <v>8680</v>
      </c>
      <c r="G40" s="101">
        <f t="shared" si="0"/>
        <v>8680</v>
      </c>
      <c r="H40" s="5"/>
      <c r="I40" s="5"/>
      <c r="J40" s="5">
        <v>8680</v>
      </c>
      <c r="K40" s="6"/>
      <c r="L40" s="6"/>
      <c r="M40" s="6">
        <v>8680</v>
      </c>
      <c r="N40" s="25"/>
      <c r="O40" s="6"/>
      <c r="P40" s="6"/>
      <c r="Q40" s="7"/>
      <c r="R40" s="7"/>
      <c r="S40" s="7"/>
      <c r="T40" s="23"/>
      <c r="U40" s="7"/>
      <c r="V40" s="7"/>
      <c r="X40" s="9"/>
      <c r="Y40" s="9"/>
      <c r="Z40" s="9"/>
      <c r="AA40" s="98"/>
      <c r="AB40" s="9"/>
      <c r="AC40" s="9"/>
      <c r="AE40" s="8"/>
      <c r="AF40" s="8"/>
      <c r="AG40" s="8"/>
      <c r="AH40" s="1"/>
      <c r="AI40" s="1"/>
      <c r="AJ40" s="1"/>
    </row>
    <row r="41" spans="1:36" x14ac:dyDescent="0.35">
      <c r="A41" s="2" t="s">
        <v>4</v>
      </c>
      <c r="B41" s="2" t="s">
        <v>82</v>
      </c>
      <c r="D41" s="2" t="s">
        <v>83</v>
      </c>
      <c r="E41" t="s">
        <v>84</v>
      </c>
      <c r="F41" s="4">
        <v>37195</v>
      </c>
      <c r="G41" s="101">
        <f t="shared" si="0"/>
        <v>36890</v>
      </c>
      <c r="H41" s="5"/>
      <c r="I41" s="5"/>
      <c r="J41" s="5">
        <v>36890</v>
      </c>
      <c r="K41" s="6"/>
      <c r="L41" s="6"/>
      <c r="M41" s="6">
        <v>21080</v>
      </c>
      <c r="N41" s="25"/>
      <c r="O41" s="6"/>
      <c r="P41" s="6">
        <v>15810</v>
      </c>
      <c r="Q41" s="7"/>
      <c r="R41" s="7"/>
      <c r="S41" s="7"/>
      <c r="T41" s="23"/>
      <c r="U41" s="7"/>
      <c r="V41" s="7">
        <v>305</v>
      </c>
      <c r="X41" s="9"/>
      <c r="Y41" s="9"/>
      <c r="Z41" s="9">
        <v>15860</v>
      </c>
      <c r="AA41" s="98"/>
      <c r="AB41" s="9"/>
      <c r="AC41" s="9"/>
      <c r="AE41" s="8"/>
      <c r="AF41" s="8"/>
      <c r="AG41" s="8"/>
      <c r="AH41" s="1"/>
      <c r="AI41" s="1"/>
      <c r="AJ41" s="1"/>
    </row>
    <row r="42" spans="1:36" x14ac:dyDescent="0.35">
      <c r="A42" s="2" t="s">
        <v>4</v>
      </c>
      <c r="B42" s="2" t="s">
        <v>82</v>
      </c>
      <c r="D42" s="2" t="s">
        <v>85</v>
      </c>
      <c r="E42" t="s">
        <v>86</v>
      </c>
      <c r="F42" s="4">
        <v>31000</v>
      </c>
      <c r="G42" s="101">
        <f t="shared" si="0"/>
        <v>31000</v>
      </c>
      <c r="H42" s="5"/>
      <c r="I42" s="5"/>
      <c r="J42" s="5">
        <v>31000</v>
      </c>
      <c r="K42" s="6"/>
      <c r="L42" s="6"/>
      <c r="M42" s="6"/>
      <c r="N42" s="25"/>
      <c r="O42" s="6"/>
      <c r="P42" s="6">
        <v>31000</v>
      </c>
      <c r="Q42" s="7"/>
      <c r="R42" s="7"/>
      <c r="S42" s="7"/>
      <c r="T42" s="23"/>
      <c r="U42" s="7"/>
      <c r="V42" s="7"/>
      <c r="X42" s="9"/>
      <c r="Y42" s="9"/>
      <c r="Z42" s="9">
        <v>30500</v>
      </c>
      <c r="AA42" s="98"/>
      <c r="AB42" s="9"/>
      <c r="AC42" s="9"/>
      <c r="AE42" s="8"/>
      <c r="AF42" s="8"/>
      <c r="AG42" s="8"/>
      <c r="AH42" s="1"/>
      <c r="AI42" s="1"/>
      <c r="AJ42" s="1"/>
    </row>
    <row r="43" spans="1:36" x14ac:dyDescent="0.35">
      <c r="A43" s="2" t="s">
        <v>4</v>
      </c>
      <c r="B43" s="2" t="s">
        <v>82</v>
      </c>
      <c r="D43" s="2" t="s">
        <v>87</v>
      </c>
      <c r="E43" t="s">
        <v>88</v>
      </c>
      <c r="F43" s="4">
        <v>74400</v>
      </c>
      <c r="G43" s="101">
        <f t="shared" si="0"/>
        <v>74400</v>
      </c>
      <c r="H43" s="5"/>
      <c r="I43" s="5"/>
      <c r="J43" s="5">
        <v>74400</v>
      </c>
      <c r="K43" s="6"/>
      <c r="L43" s="6"/>
      <c r="M43" s="6">
        <v>12400</v>
      </c>
      <c r="N43" s="25"/>
      <c r="O43" s="6"/>
      <c r="P43" s="6">
        <v>62000</v>
      </c>
      <c r="Q43" s="7"/>
      <c r="R43" s="7"/>
      <c r="S43" s="7"/>
      <c r="T43" s="23"/>
      <c r="U43" s="7"/>
      <c r="V43" s="7"/>
      <c r="X43" s="9"/>
      <c r="Y43" s="9"/>
      <c r="Z43" s="9">
        <v>61000</v>
      </c>
      <c r="AA43" s="98"/>
      <c r="AB43" s="9"/>
      <c r="AC43" s="9"/>
      <c r="AE43" s="8"/>
      <c r="AF43" s="8"/>
      <c r="AG43" s="8"/>
      <c r="AH43" s="1"/>
      <c r="AI43" s="1"/>
      <c r="AJ43" s="1"/>
    </row>
    <row r="44" spans="1:36" x14ac:dyDescent="0.35">
      <c r="A44" s="2" t="s">
        <v>4</v>
      </c>
      <c r="B44" s="2" t="s">
        <v>89</v>
      </c>
      <c r="D44" s="2" t="s">
        <v>90</v>
      </c>
      <c r="E44" t="s">
        <v>91</v>
      </c>
      <c r="F44" s="4">
        <v>120846.62</v>
      </c>
      <c r="G44" s="101">
        <f t="shared" si="0"/>
        <v>74400</v>
      </c>
      <c r="H44" s="5"/>
      <c r="I44" s="5"/>
      <c r="J44" s="5">
        <v>74400</v>
      </c>
      <c r="K44" s="6"/>
      <c r="L44" s="6"/>
      <c r="M44" s="6">
        <v>74400</v>
      </c>
      <c r="N44" s="25"/>
      <c r="O44" s="6"/>
      <c r="P44" s="6"/>
      <c r="Q44" s="7"/>
      <c r="R44" s="7"/>
      <c r="S44" s="7"/>
      <c r="T44" s="23"/>
      <c r="U44" s="7"/>
      <c r="V44" s="7">
        <v>46446.62</v>
      </c>
      <c r="X44" s="9"/>
      <c r="Y44" s="9"/>
      <c r="Z44" s="9">
        <v>73200</v>
      </c>
      <c r="AA44" s="98"/>
      <c r="AB44" s="9"/>
      <c r="AC44" s="9">
        <v>26753.38</v>
      </c>
      <c r="AE44" s="8"/>
      <c r="AF44" s="8"/>
      <c r="AG44" s="8"/>
      <c r="AH44" s="1"/>
      <c r="AI44" s="1"/>
      <c r="AJ44" s="1"/>
    </row>
    <row r="45" spans="1:36" x14ac:dyDescent="0.35">
      <c r="A45" s="2" t="s">
        <v>4</v>
      </c>
      <c r="B45" s="2" t="s">
        <v>89</v>
      </c>
      <c r="D45" s="2" t="s">
        <v>92</v>
      </c>
      <c r="E45" t="s">
        <v>93</v>
      </c>
      <c r="F45" s="4"/>
      <c r="G45" s="101"/>
      <c r="H45" s="5"/>
      <c r="I45" s="5"/>
      <c r="J45" s="5"/>
      <c r="K45" s="6"/>
      <c r="L45" s="6"/>
      <c r="M45" s="6"/>
      <c r="N45" s="25"/>
      <c r="O45" s="6"/>
      <c r="P45" s="6"/>
      <c r="Q45" s="7"/>
      <c r="R45" s="7"/>
      <c r="S45" s="7"/>
      <c r="T45" s="23"/>
      <c r="U45" s="7"/>
      <c r="V45" s="7"/>
      <c r="X45" s="9"/>
      <c r="Y45" s="9"/>
      <c r="Z45" s="9">
        <v>4880</v>
      </c>
      <c r="AA45" s="98"/>
      <c r="AB45" s="9"/>
      <c r="AC45" s="9">
        <v>4880</v>
      </c>
      <c r="AE45" s="8"/>
      <c r="AF45" s="8"/>
      <c r="AG45" s="8"/>
      <c r="AH45" s="1"/>
      <c r="AI45" s="1"/>
      <c r="AJ45" s="1"/>
    </row>
    <row r="46" spans="1:36" x14ac:dyDescent="0.35">
      <c r="A46" s="2" t="s">
        <v>4</v>
      </c>
      <c r="B46" s="2" t="s">
        <v>89</v>
      </c>
      <c r="D46" s="2" t="s">
        <v>94</v>
      </c>
      <c r="E46" t="s">
        <v>95</v>
      </c>
      <c r="F46" s="4">
        <v>62000</v>
      </c>
      <c r="G46" s="101">
        <f t="shared" si="0"/>
        <v>62000</v>
      </c>
      <c r="H46" s="5"/>
      <c r="I46" s="5"/>
      <c r="J46" s="5">
        <v>62000</v>
      </c>
      <c r="K46" s="6"/>
      <c r="L46" s="6"/>
      <c r="M46" s="6"/>
      <c r="N46" s="25"/>
      <c r="O46" s="6"/>
      <c r="P46" s="6">
        <v>62000</v>
      </c>
      <c r="Q46" s="7"/>
      <c r="R46" s="7"/>
      <c r="S46" s="7"/>
      <c r="T46" s="23"/>
      <c r="U46" s="7"/>
      <c r="V46" s="7"/>
      <c r="X46" s="9"/>
      <c r="Y46" s="9"/>
      <c r="Z46" s="9">
        <v>61000</v>
      </c>
      <c r="AA46" s="98"/>
      <c r="AB46" s="9"/>
      <c r="AC46" s="9"/>
      <c r="AE46" s="8"/>
      <c r="AF46" s="8"/>
      <c r="AG46" s="8"/>
      <c r="AH46" s="1"/>
      <c r="AI46" s="1"/>
      <c r="AJ46" s="1"/>
    </row>
    <row r="47" spans="1:36" x14ac:dyDescent="0.35">
      <c r="A47" s="2" t="s">
        <v>4</v>
      </c>
      <c r="B47" s="2" t="s">
        <v>89</v>
      </c>
      <c r="D47" s="2" t="s">
        <v>96</v>
      </c>
      <c r="E47" t="s">
        <v>97</v>
      </c>
      <c r="F47" s="4"/>
      <c r="G47" s="101"/>
      <c r="H47" s="5"/>
      <c r="I47" s="5"/>
      <c r="J47" s="5"/>
      <c r="K47" s="6"/>
      <c r="L47" s="6"/>
      <c r="M47" s="6"/>
      <c r="N47" s="25"/>
      <c r="O47" s="6"/>
      <c r="P47" s="6"/>
      <c r="Q47" s="7"/>
      <c r="R47" s="7"/>
      <c r="S47" s="7"/>
      <c r="T47" s="23"/>
      <c r="U47" s="7"/>
      <c r="V47" s="7"/>
      <c r="X47" s="9">
        <v>748470</v>
      </c>
      <c r="Y47" s="9"/>
      <c r="Z47" s="9"/>
      <c r="AA47" s="98">
        <v>748470</v>
      </c>
      <c r="AB47" s="9"/>
      <c r="AC47" s="9"/>
      <c r="AD47" t="s">
        <v>343</v>
      </c>
      <c r="AE47" s="8">
        <v>736200</v>
      </c>
      <c r="AF47" s="8"/>
      <c r="AG47" s="8"/>
      <c r="AH47" s="1"/>
      <c r="AI47" s="1"/>
      <c r="AJ47" s="1"/>
    </row>
    <row r="48" spans="1:36" x14ac:dyDescent="0.35">
      <c r="A48" s="2" t="s">
        <v>4</v>
      </c>
      <c r="B48" s="2" t="s">
        <v>89</v>
      </c>
      <c r="D48" s="2" t="s">
        <v>98</v>
      </c>
      <c r="E48" t="s">
        <v>99</v>
      </c>
      <c r="F48" s="4">
        <v>120000</v>
      </c>
      <c r="G48" s="101">
        <f t="shared" si="0"/>
        <v>120000</v>
      </c>
      <c r="H48" s="5"/>
      <c r="I48" s="5">
        <v>120000</v>
      </c>
      <c r="J48" s="5"/>
      <c r="K48" s="6"/>
      <c r="L48" s="6">
        <v>120000</v>
      </c>
      <c r="M48" s="6"/>
      <c r="N48" s="25"/>
      <c r="O48" s="6"/>
      <c r="P48" s="6"/>
      <c r="Q48" s="7"/>
      <c r="R48" s="7"/>
      <c r="S48" s="7"/>
      <c r="T48" s="23"/>
      <c r="U48" s="7"/>
      <c r="V48" s="7"/>
      <c r="X48" s="9"/>
      <c r="Y48" s="9"/>
      <c r="Z48" s="9"/>
      <c r="AA48" s="98"/>
      <c r="AB48" s="9"/>
      <c r="AC48" s="9"/>
      <c r="AE48" s="8"/>
      <c r="AF48" s="8"/>
      <c r="AG48" s="8"/>
      <c r="AH48" s="1"/>
      <c r="AI48" s="1"/>
      <c r="AJ48" s="1"/>
    </row>
    <row r="49" spans="1:36" x14ac:dyDescent="0.35">
      <c r="A49" s="2" t="s">
        <v>4</v>
      </c>
      <c r="B49" s="2" t="s">
        <v>89</v>
      </c>
      <c r="D49" s="2" t="s">
        <v>100</v>
      </c>
      <c r="E49" t="s">
        <v>101</v>
      </c>
      <c r="F49" s="4">
        <v>62000</v>
      </c>
      <c r="G49" s="101">
        <f t="shared" si="0"/>
        <v>62000</v>
      </c>
      <c r="H49" s="5">
        <v>62000</v>
      </c>
      <c r="I49" s="5"/>
      <c r="J49" s="5"/>
      <c r="K49" s="6">
        <v>62000</v>
      </c>
      <c r="L49" s="6"/>
      <c r="M49" s="6"/>
      <c r="N49" s="25"/>
      <c r="O49" s="6"/>
      <c r="P49" s="6"/>
      <c r="Q49" s="7"/>
      <c r="R49" s="7"/>
      <c r="S49" s="7"/>
      <c r="T49" s="23"/>
      <c r="U49" s="7"/>
      <c r="V49" s="7"/>
      <c r="X49" s="9"/>
      <c r="Y49" s="9"/>
      <c r="Z49" s="9"/>
      <c r="AA49" s="98"/>
      <c r="AB49" s="9"/>
      <c r="AC49" s="9"/>
      <c r="AE49" s="8"/>
      <c r="AF49" s="8"/>
      <c r="AG49" s="8"/>
      <c r="AH49" s="1"/>
      <c r="AI49" s="1"/>
      <c r="AJ49" s="1"/>
    </row>
    <row r="50" spans="1:36" x14ac:dyDescent="0.35">
      <c r="A50" s="2" t="s">
        <v>4</v>
      </c>
      <c r="B50" s="2" t="s">
        <v>89</v>
      </c>
      <c r="C50" t="s">
        <v>27</v>
      </c>
      <c r="D50" s="2" t="s">
        <v>354</v>
      </c>
      <c r="E50" t="s">
        <v>102</v>
      </c>
      <c r="F50" s="4">
        <v>1240000</v>
      </c>
      <c r="G50" s="101">
        <f t="shared" si="0"/>
        <v>1240000</v>
      </c>
      <c r="H50" s="5">
        <v>1240000</v>
      </c>
      <c r="I50" s="5"/>
      <c r="J50" s="5"/>
      <c r="K50" s="6">
        <v>1240000</v>
      </c>
      <c r="L50" s="6"/>
      <c r="M50" s="6"/>
      <c r="N50" s="25"/>
      <c r="O50" s="6"/>
      <c r="P50" s="6"/>
      <c r="Q50" s="7"/>
      <c r="R50" s="7"/>
      <c r="S50" s="7"/>
      <c r="T50" s="23"/>
      <c r="U50" s="7"/>
      <c r="V50" s="7"/>
      <c r="X50" s="9"/>
      <c r="Y50" s="9"/>
      <c r="Z50" s="9"/>
      <c r="AA50" s="98"/>
      <c r="AB50" s="9"/>
      <c r="AC50" s="9"/>
      <c r="AE50" s="8"/>
      <c r="AF50" s="8"/>
      <c r="AG50" s="8"/>
      <c r="AH50" s="1"/>
      <c r="AI50" s="1"/>
      <c r="AJ50" s="1"/>
    </row>
    <row r="51" spans="1:36" x14ac:dyDescent="0.35">
      <c r="A51" s="3" t="s">
        <v>4</v>
      </c>
      <c r="B51" s="2" t="s">
        <v>89</v>
      </c>
      <c r="C51" t="s">
        <v>27</v>
      </c>
      <c r="D51" s="2" t="s">
        <v>103</v>
      </c>
      <c r="E51" t="s">
        <v>104</v>
      </c>
      <c r="F51" s="4">
        <v>248000</v>
      </c>
      <c r="G51" s="101">
        <f t="shared" si="0"/>
        <v>248000</v>
      </c>
      <c r="H51" s="5"/>
      <c r="I51" s="5"/>
      <c r="J51" s="5">
        <v>248000</v>
      </c>
      <c r="K51" s="6"/>
      <c r="L51" s="6"/>
      <c r="M51" s="6">
        <v>248000</v>
      </c>
      <c r="N51" s="25"/>
      <c r="O51" s="6"/>
      <c r="P51" s="6"/>
      <c r="Q51" s="7"/>
      <c r="R51" s="7"/>
      <c r="S51" s="7"/>
      <c r="T51" s="23"/>
      <c r="U51" s="7"/>
      <c r="V51" s="7"/>
      <c r="X51" s="9"/>
      <c r="Y51" s="9"/>
      <c r="Z51" s="9"/>
      <c r="AA51" s="98"/>
      <c r="AB51" s="9"/>
      <c r="AC51" s="9"/>
      <c r="AE51" s="8"/>
      <c r="AF51" s="8"/>
      <c r="AG51" s="8"/>
      <c r="AH51" s="1"/>
      <c r="AI51" s="1"/>
      <c r="AJ51" s="1"/>
    </row>
    <row r="52" spans="1:36" x14ac:dyDescent="0.35">
      <c r="A52" s="2" t="s">
        <v>105</v>
      </c>
      <c r="B52" s="2" t="s">
        <v>106</v>
      </c>
      <c r="C52" t="s">
        <v>107</v>
      </c>
      <c r="D52" s="2" t="s">
        <v>321</v>
      </c>
      <c r="E52" t="s">
        <v>108</v>
      </c>
      <c r="F52" s="4">
        <v>453840</v>
      </c>
      <c r="G52" s="101">
        <f t="shared" si="0"/>
        <v>453840</v>
      </c>
      <c r="H52" s="5">
        <v>453840</v>
      </c>
      <c r="I52" s="5"/>
      <c r="J52" s="5"/>
      <c r="K52" s="6">
        <v>249240</v>
      </c>
      <c r="L52" s="6"/>
      <c r="M52" s="6"/>
      <c r="N52" s="25">
        <v>204600</v>
      </c>
      <c r="O52" s="6"/>
      <c r="P52" s="6"/>
      <c r="Q52" s="7"/>
      <c r="R52" s="7"/>
      <c r="S52" s="7"/>
      <c r="T52" s="23"/>
      <c r="U52" s="7"/>
      <c r="V52" s="7"/>
      <c r="X52" s="9">
        <v>201300</v>
      </c>
      <c r="Y52" s="9"/>
      <c r="Z52" s="9"/>
      <c r="AA52" s="98"/>
      <c r="AB52" s="9"/>
      <c r="AC52" s="9"/>
      <c r="AE52" s="8"/>
      <c r="AF52" s="8"/>
      <c r="AG52" s="8"/>
      <c r="AH52" s="1"/>
      <c r="AI52" s="1"/>
      <c r="AJ52" s="1"/>
    </row>
    <row r="53" spans="1:36" x14ac:dyDescent="0.35">
      <c r="A53" s="2" t="s">
        <v>105</v>
      </c>
      <c r="B53" s="2" t="s">
        <v>106</v>
      </c>
      <c r="C53" t="s">
        <v>245</v>
      </c>
      <c r="D53" s="2" t="s">
        <v>322</v>
      </c>
      <c r="E53" t="s">
        <v>344</v>
      </c>
      <c r="F53" s="4">
        <v>569904</v>
      </c>
      <c r="G53" s="101">
        <f t="shared" si="0"/>
        <v>569904</v>
      </c>
      <c r="H53" s="5">
        <v>569904</v>
      </c>
      <c r="I53" s="5"/>
      <c r="J53" s="5"/>
      <c r="K53" s="6">
        <v>328600</v>
      </c>
      <c r="L53" s="6"/>
      <c r="M53" s="6"/>
      <c r="N53" s="25">
        <v>241304</v>
      </c>
      <c r="O53" s="6"/>
      <c r="P53" s="6"/>
      <c r="Q53" s="7"/>
      <c r="R53" s="7"/>
      <c r="S53" s="7"/>
      <c r="T53" s="23"/>
      <c r="U53" s="7"/>
      <c r="V53" s="7"/>
      <c r="X53" s="9">
        <v>237412</v>
      </c>
      <c r="Y53" s="9"/>
      <c r="Z53" s="9"/>
      <c r="AA53" s="98"/>
      <c r="AB53" s="9"/>
      <c r="AC53" s="9"/>
      <c r="AE53" s="8"/>
      <c r="AF53" s="8"/>
      <c r="AG53" s="8"/>
      <c r="AH53" s="1"/>
      <c r="AI53" s="1"/>
      <c r="AJ53" s="1"/>
    </row>
    <row r="54" spans="1:36" x14ac:dyDescent="0.35">
      <c r="A54" s="2" t="s">
        <v>105</v>
      </c>
      <c r="B54" s="2" t="s">
        <v>106</v>
      </c>
      <c r="C54" t="s">
        <v>109</v>
      </c>
      <c r="D54" s="2" t="s">
        <v>323</v>
      </c>
      <c r="E54" t="s">
        <v>108</v>
      </c>
      <c r="F54" s="4">
        <v>106640</v>
      </c>
      <c r="G54" s="101">
        <f t="shared" si="0"/>
        <v>106640</v>
      </c>
      <c r="H54" s="5">
        <v>106640</v>
      </c>
      <c r="I54" s="5"/>
      <c r="J54" s="5"/>
      <c r="K54" s="6"/>
      <c r="L54" s="6"/>
      <c r="M54" s="6"/>
      <c r="N54" s="25">
        <v>106640</v>
      </c>
      <c r="O54" s="6"/>
      <c r="P54" s="6"/>
      <c r="Q54" s="7"/>
      <c r="R54" s="7"/>
      <c r="S54" s="7"/>
      <c r="T54" s="23"/>
      <c r="U54" s="7"/>
      <c r="V54" s="7"/>
      <c r="X54" s="9">
        <v>104920</v>
      </c>
      <c r="Y54" s="9"/>
      <c r="Z54" s="9"/>
      <c r="AA54" s="98"/>
      <c r="AB54" s="9"/>
      <c r="AC54" s="9"/>
      <c r="AE54" s="8"/>
      <c r="AF54" s="8"/>
      <c r="AG54" s="8"/>
      <c r="AH54" s="1"/>
      <c r="AI54" s="1"/>
      <c r="AJ54" s="1"/>
    </row>
    <row r="55" spans="1:36" x14ac:dyDescent="0.35">
      <c r="A55" s="2" t="s">
        <v>105</v>
      </c>
      <c r="B55" s="2" t="s">
        <v>106</v>
      </c>
      <c r="C55" t="s">
        <v>337</v>
      </c>
      <c r="D55" s="2" t="s">
        <v>324</v>
      </c>
      <c r="E55" t="s">
        <v>345</v>
      </c>
      <c r="F55" s="4">
        <v>143840</v>
      </c>
      <c r="G55" s="101">
        <f t="shared" si="0"/>
        <v>143840</v>
      </c>
      <c r="H55" s="5">
        <v>143840</v>
      </c>
      <c r="I55" s="5"/>
      <c r="J55" s="5"/>
      <c r="K55" s="6">
        <v>143840</v>
      </c>
      <c r="L55" s="6"/>
      <c r="M55" s="6"/>
      <c r="N55" s="25"/>
      <c r="O55" s="6"/>
      <c r="P55" s="6"/>
      <c r="Q55" s="7"/>
      <c r="R55" s="7"/>
      <c r="S55" s="7"/>
      <c r="T55" s="23"/>
      <c r="U55" s="7"/>
      <c r="V55" s="7"/>
      <c r="X55" s="9"/>
      <c r="Y55" s="9"/>
      <c r="Z55" s="9"/>
      <c r="AA55" s="98"/>
      <c r="AB55" s="9"/>
      <c r="AC55" s="9"/>
      <c r="AE55" s="8"/>
      <c r="AF55" s="8"/>
      <c r="AG55" s="8"/>
      <c r="AH55" s="1"/>
      <c r="AI55" s="1"/>
      <c r="AJ55" s="1"/>
    </row>
    <row r="56" spans="1:36" x14ac:dyDescent="0.35">
      <c r="A56" s="2" t="s">
        <v>105</v>
      </c>
      <c r="B56" s="2" t="s">
        <v>106</v>
      </c>
      <c r="C56" t="s">
        <v>253</v>
      </c>
      <c r="D56" s="2" t="s">
        <v>325</v>
      </c>
      <c r="E56" t="s">
        <v>346</v>
      </c>
      <c r="F56" s="4">
        <v>805623.17999999993</v>
      </c>
      <c r="G56" s="101">
        <f t="shared" si="0"/>
        <v>782637.15999999992</v>
      </c>
      <c r="H56" s="5">
        <v>782637.15999999992</v>
      </c>
      <c r="I56" s="5"/>
      <c r="J56" s="5"/>
      <c r="K56" s="6">
        <v>434000</v>
      </c>
      <c r="L56" s="6"/>
      <c r="M56" s="6"/>
      <c r="N56" s="25">
        <v>348637.16</v>
      </c>
      <c r="O56" s="6"/>
      <c r="P56" s="6"/>
      <c r="Q56" s="7"/>
      <c r="R56" s="7"/>
      <c r="S56" s="7"/>
      <c r="T56" s="23">
        <v>22986.02</v>
      </c>
      <c r="U56" s="7"/>
      <c r="V56" s="7"/>
      <c r="X56" s="9">
        <v>366000</v>
      </c>
      <c r="Y56" s="9"/>
      <c r="Z56" s="9"/>
      <c r="AA56" s="98"/>
      <c r="AB56" s="9"/>
      <c r="AC56" s="9"/>
      <c r="AE56" s="8"/>
      <c r="AF56" s="8"/>
      <c r="AG56" s="8"/>
      <c r="AH56" s="1"/>
      <c r="AI56" s="1"/>
      <c r="AJ56" s="1"/>
    </row>
    <row r="57" spans="1:36" x14ac:dyDescent="0.35">
      <c r="A57" s="2" t="s">
        <v>105</v>
      </c>
      <c r="B57" s="2" t="s">
        <v>106</v>
      </c>
      <c r="C57" t="s">
        <v>253</v>
      </c>
      <c r="D57" s="2" t="s">
        <v>326</v>
      </c>
      <c r="E57" t="s">
        <v>347</v>
      </c>
      <c r="F57" s="4">
        <v>208320</v>
      </c>
      <c r="G57" s="101">
        <f t="shared" si="0"/>
        <v>208320</v>
      </c>
      <c r="H57" s="5">
        <v>208320</v>
      </c>
      <c r="I57" s="5"/>
      <c r="J57" s="5"/>
      <c r="K57" s="6">
        <v>208320</v>
      </c>
      <c r="L57" s="6"/>
      <c r="M57" s="6"/>
      <c r="N57" s="25"/>
      <c r="O57" s="6"/>
      <c r="P57" s="6"/>
      <c r="Q57" s="7"/>
      <c r="R57" s="7"/>
      <c r="S57" s="7"/>
      <c r="T57" s="23"/>
      <c r="U57" s="7"/>
      <c r="V57" s="7"/>
      <c r="X57" s="9"/>
      <c r="Y57" s="9"/>
      <c r="Z57" s="9"/>
      <c r="AA57" s="98"/>
      <c r="AB57" s="9"/>
      <c r="AC57" s="9"/>
      <c r="AE57" s="8"/>
      <c r="AF57" s="8"/>
      <c r="AG57" s="8"/>
      <c r="AH57" s="1"/>
      <c r="AI57" s="1"/>
      <c r="AJ57" s="1"/>
    </row>
    <row r="58" spans="1:36" x14ac:dyDescent="0.35">
      <c r="A58" s="2" t="s">
        <v>105</v>
      </c>
      <c r="B58" s="2" t="s">
        <v>106</v>
      </c>
      <c r="C58" t="s">
        <v>247</v>
      </c>
      <c r="D58" s="2" t="s">
        <v>327</v>
      </c>
      <c r="E58" t="s">
        <v>348</v>
      </c>
      <c r="F58" s="4">
        <v>377208</v>
      </c>
      <c r="G58" s="101">
        <f t="shared" si="0"/>
        <v>377208</v>
      </c>
      <c r="H58" s="5">
        <v>377208</v>
      </c>
      <c r="I58" s="5"/>
      <c r="J58" s="5"/>
      <c r="K58" s="6">
        <v>191208</v>
      </c>
      <c r="L58" s="6"/>
      <c r="M58" s="6"/>
      <c r="N58" s="25">
        <v>186000</v>
      </c>
      <c r="O58" s="6"/>
      <c r="P58" s="6"/>
      <c r="Q58" s="7"/>
      <c r="R58" s="7"/>
      <c r="S58" s="7"/>
      <c r="T58" s="23"/>
      <c r="U58" s="7"/>
      <c r="V58" s="7"/>
      <c r="X58" s="9">
        <v>183000</v>
      </c>
      <c r="Y58" s="9"/>
      <c r="Z58" s="9"/>
      <c r="AA58" s="98"/>
      <c r="AB58" s="9"/>
      <c r="AC58" s="9"/>
      <c r="AE58" s="8"/>
      <c r="AF58" s="8"/>
      <c r="AG58" s="8"/>
      <c r="AH58" s="1"/>
      <c r="AI58" s="1"/>
      <c r="AJ58" s="1"/>
    </row>
    <row r="59" spans="1:36" x14ac:dyDescent="0.35">
      <c r="A59" s="2" t="s">
        <v>105</v>
      </c>
      <c r="B59" s="2" t="s">
        <v>106</v>
      </c>
      <c r="C59" t="s">
        <v>250</v>
      </c>
      <c r="D59" s="2" t="s">
        <v>328</v>
      </c>
      <c r="E59" t="s">
        <v>349</v>
      </c>
      <c r="F59" s="4">
        <v>143840</v>
      </c>
      <c r="G59" s="101">
        <f t="shared" si="0"/>
        <v>143840</v>
      </c>
      <c r="H59" s="5">
        <v>143840</v>
      </c>
      <c r="I59" s="5"/>
      <c r="J59" s="5"/>
      <c r="K59" s="6">
        <v>143840</v>
      </c>
      <c r="L59" s="6"/>
      <c r="M59" s="6"/>
      <c r="N59" s="25"/>
      <c r="O59" s="6"/>
      <c r="P59" s="6"/>
      <c r="Q59" s="7"/>
      <c r="R59" s="7"/>
      <c r="S59" s="7"/>
      <c r="T59" s="23"/>
      <c r="U59" s="7"/>
      <c r="V59" s="7"/>
      <c r="X59" s="9"/>
      <c r="Y59" s="9"/>
      <c r="Z59" s="9"/>
      <c r="AA59" s="98"/>
      <c r="AB59" s="9"/>
      <c r="AC59" s="9"/>
      <c r="AE59" s="8"/>
      <c r="AF59" s="8"/>
      <c r="AG59" s="8"/>
      <c r="AH59" s="1"/>
      <c r="AI59" s="1"/>
      <c r="AJ59" s="1"/>
    </row>
    <row r="60" spans="1:36" x14ac:dyDescent="0.35">
      <c r="A60" s="2" t="s">
        <v>105</v>
      </c>
      <c r="B60" s="2" t="s">
        <v>106</v>
      </c>
      <c r="C60" t="s">
        <v>250</v>
      </c>
      <c r="D60" s="2" t="s">
        <v>329</v>
      </c>
      <c r="E60" t="s">
        <v>350</v>
      </c>
      <c r="F60" s="4">
        <v>1284640</v>
      </c>
      <c r="G60" s="101">
        <f t="shared" si="0"/>
        <v>1284640</v>
      </c>
      <c r="H60" s="5">
        <v>1284640</v>
      </c>
      <c r="I60" s="5"/>
      <c r="J60" s="5"/>
      <c r="K60" s="6">
        <v>664640</v>
      </c>
      <c r="L60" s="6"/>
      <c r="M60" s="6"/>
      <c r="N60" s="25">
        <v>620000</v>
      </c>
      <c r="O60" s="6"/>
      <c r="P60" s="6"/>
      <c r="Q60" s="7"/>
      <c r="R60" s="7"/>
      <c r="S60" s="7"/>
      <c r="T60" s="23"/>
      <c r="U60" s="7"/>
      <c r="V60" s="7"/>
      <c r="X60" s="9">
        <v>610000</v>
      </c>
      <c r="Y60" s="9"/>
      <c r="Z60" s="9"/>
      <c r="AA60" s="98"/>
      <c r="AB60" s="9"/>
      <c r="AC60" s="9"/>
      <c r="AE60" s="8"/>
      <c r="AF60" s="8"/>
      <c r="AG60" s="8"/>
      <c r="AH60" s="1"/>
      <c r="AI60" s="1"/>
      <c r="AJ60" s="1"/>
    </row>
    <row r="61" spans="1:36" x14ac:dyDescent="0.35">
      <c r="A61" s="2" t="s">
        <v>105</v>
      </c>
      <c r="B61" s="2" t="s">
        <v>106</v>
      </c>
      <c r="C61" t="s">
        <v>250</v>
      </c>
      <c r="D61" s="2" t="s">
        <v>330</v>
      </c>
      <c r="E61" t="s">
        <v>351</v>
      </c>
      <c r="F61" s="4">
        <v>230640</v>
      </c>
      <c r="G61" s="101">
        <f t="shared" si="0"/>
        <v>230640</v>
      </c>
      <c r="H61" s="5">
        <v>230640</v>
      </c>
      <c r="I61" s="5"/>
      <c r="J61" s="5"/>
      <c r="K61" s="6">
        <v>168640</v>
      </c>
      <c r="L61" s="6"/>
      <c r="M61" s="6"/>
      <c r="N61" s="25">
        <v>62000</v>
      </c>
      <c r="O61" s="6"/>
      <c r="P61" s="6"/>
      <c r="Q61" s="7"/>
      <c r="R61" s="7"/>
      <c r="S61" s="7"/>
      <c r="T61" s="23"/>
      <c r="U61" s="7"/>
      <c r="V61" s="7"/>
      <c r="X61" s="9">
        <v>61000</v>
      </c>
      <c r="Y61" s="9"/>
      <c r="Z61" s="9"/>
      <c r="AA61" s="98"/>
      <c r="AB61" s="9"/>
      <c r="AC61" s="9"/>
      <c r="AE61" s="8"/>
      <c r="AF61" s="8"/>
      <c r="AG61" s="8"/>
      <c r="AH61" s="1"/>
      <c r="AI61" s="1"/>
      <c r="AJ61" s="1"/>
    </row>
    <row r="62" spans="1:36" x14ac:dyDescent="0.35">
      <c r="A62" s="2" t="s">
        <v>105</v>
      </c>
      <c r="B62" s="2" t="s">
        <v>106</v>
      </c>
      <c r="C62" t="s">
        <v>110</v>
      </c>
      <c r="D62" s="2" t="s">
        <v>331</v>
      </c>
      <c r="E62" t="s">
        <v>108</v>
      </c>
      <c r="F62" s="4">
        <v>143840</v>
      </c>
      <c r="G62" s="101">
        <f t="shared" si="0"/>
        <v>143840</v>
      </c>
      <c r="H62" s="5">
        <v>143840</v>
      </c>
      <c r="I62" s="5"/>
      <c r="J62" s="5"/>
      <c r="K62" s="6">
        <v>143840</v>
      </c>
      <c r="L62" s="6"/>
      <c r="M62" s="6"/>
      <c r="N62" s="25"/>
      <c r="O62" s="6"/>
      <c r="P62" s="6"/>
      <c r="Q62" s="7"/>
      <c r="R62" s="7"/>
      <c r="S62" s="7"/>
      <c r="T62" s="23"/>
      <c r="U62" s="7"/>
      <c r="V62" s="7"/>
      <c r="X62" s="9"/>
      <c r="Y62" s="9"/>
      <c r="Z62" s="9"/>
      <c r="AA62" s="98"/>
      <c r="AB62" s="9"/>
      <c r="AC62" s="9"/>
      <c r="AE62" s="8"/>
      <c r="AF62" s="8"/>
      <c r="AG62" s="8"/>
      <c r="AH62" s="1"/>
      <c r="AI62" s="1"/>
      <c r="AJ62" s="1"/>
    </row>
    <row r="63" spans="1:36" x14ac:dyDescent="0.35">
      <c r="A63" s="2" t="s">
        <v>105</v>
      </c>
      <c r="B63" s="2" t="s">
        <v>106</v>
      </c>
      <c r="C63" t="s">
        <v>111</v>
      </c>
      <c r="D63" s="2" t="s">
        <v>332</v>
      </c>
      <c r="E63" t="s">
        <v>108</v>
      </c>
      <c r="F63" s="4">
        <v>208320</v>
      </c>
      <c r="G63" s="101">
        <f t="shared" si="0"/>
        <v>208320</v>
      </c>
      <c r="H63" s="5">
        <v>208320</v>
      </c>
      <c r="I63" s="5"/>
      <c r="J63" s="5"/>
      <c r="K63" s="6">
        <v>208320</v>
      </c>
      <c r="L63" s="6"/>
      <c r="M63" s="6"/>
      <c r="N63" s="25"/>
      <c r="O63" s="6"/>
      <c r="P63" s="6"/>
      <c r="Q63" s="7"/>
      <c r="R63" s="7"/>
      <c r="S63" s="7"/>
      <c r="T63" s="23"/>
      <c r="U63" s="7"/>
      <c r="V63" s="7"/>
      <c r="X63" s="9"/>
      <c r="Y63" s="9"/>
      <c r="Z63" s="9"/>
      <c r="AA63" s="98"/>
      <c r="AB63" s="9"/>
      <c r="AC63" s="9"/>
      <c r="AE63" s="8"/>
      <c r="AF63" s="8"/>
      <c r="AG63" s="8"/>
      <c r="AH63" s="1"/>
      <c r="AI63" s="1"/>
      <c r="AJ63" s="1"/>
    </row>
    <row r="64" spans="1:36" x14ac:dyDescent="0.35">
      <c r="A64" s="3" t="s">
        <v>105</v>
      </c>
      <c r="B64" s="2" t="s">
        <v>106</v>
      </c>
      <c r="C64" t="s">
        <v>18</v>
      </c>
      <c r="D64" s="2" t="s">
        <v>333</v>
      </c>
      <c r="E64" t="s">
        <v>249</v>
      </c>
      <c r="F64" s="4">
        <v>62000</v>
      </c>
      <c r="G64" s="101">
        <f t="shared" si="0"/>
        <v>62000</v>
      </c>
      <c r="H64" s="5">
        <v>62000</v>
      </c>
      <c r="I64" s="5"/>
      <c r="J64" s="5"/>
      <c r="K64" s="6"/>
      <c r="L64" s="6"/>
      <c r="M64" s="6"/>
      <c r="N64" s="25">
        <v>62000</v>
      </c>
      <c r="O64" s="6"/>
      <c r="P64" s="6"/>
      <c r="Q64" s="7"/>
      <c r="R64" s="7"/>
      <c r="S64" s="7"/>
      <c r="T64" s="23"/>
      <c r="U64" s="7"/>
      <c r="V64" s="7"/>
      <c r="X64" s="9">
        <v>61000</v>
      </c>
      <c r="Y64" s="9"/>
      <c r="Z64" s="9"/>
      <c r="AA64" s="98"/>
      <c r="AB64" s="9"/>
      <c r="AC64" s="9"/>
      <c r="AE64" s="8"/>
      <c r="AF64" s="8"/>
      <c r="AG64" s="8"/>
      <c r="AH64" s="1"/>
      <c r="AI64" s="1"/>
      <c r="AJ64" s="1"/>
    </row>
    <row r="65" spans="1:36" x14ac:dyDescent="0.35">
      <c r="A65" s="2" t="s">
        <v>27</v>
      </c>
      <c r="B65" s="2" t="s">
        <v>112</v>
      </c>
      <c r="D65" s="2" t="s">
        <v>113</v>
      </c>
      <c r="E65" t="s">
        <v>377</v>
      </c>
      <c r="F65" s="4">
        <v>294617.8</v>
      </c>
      <c r="G65" s="101"/>
      <c r="H65" s="5"/>
      <c r="I65" s="5"/>
      <c r="J65" s="5"/>
      <c r="K65" s="6"/>
      <c r="L65" s="6"/>
      <c r="M65" s="6"/>
      <c r="N65" s="25"/>
      <c r="O65" s="6"/>
      <c r="P65" s="6"/>
      <c r="Q65" s="7"/>
      <c r="R65" s="7"/>
      <c r="S65" s="7"/>
      <c r="T65" s="23">
        <v>294617.8</v>
      </c>
      <c r="U65" s="7"/>
      <c r="V65" s="7"/>
      <c r="X65" s="9">
        <v>294617.8</v>
      </c>
      <c r="Y65" s="9"/>
      <c r="Z65" s="9"/>
      <c r="AA65" s="98"/>
      <c r="AB65" s="9"/>
      <c r="AC65" s="9"/>
      <c r="AE65" s="8">
        <v>216801.59999999998</v>
      </c>
      <c r="AF65" s="8"/>
      <c r="AG65" s="8"/>
      <c r="AH65" s="1"/>
      <c r="AI65" s="1"/>
      <c r="AJ65" s="1"/>
    </row>
    <row r="66" spans="1:36" x14ac:dyDescent="0.35">
      <c r="A66" s="2" t="s">
        <v>27</v>
      </c>
      <c r="B66" s="2" t="s">
        <v>112</v>
      </c>
      <c r="D66" s="2" t="s">
        <v>375</v>
      </c>
      <c r="E66" t="s">
        <v>378</v>
      </c>
      <c r="F66" s="4">
        <f>341452.685</f>
        <v>341452.685</v>
      </c>
      <c r="G66" s="101">
        <f>H66</f>
        <v>8537.0200000000186</v>
      </c>
      <c r="H66" s="5">
        <f>K66</f>
        <v>8537.0200000000186</v>
      </c>
      <c r="I66" s="5"/>
      <c r="J66" s="5"/>
      <c r="K66" s="6">
        <v>8537.0200000000186</v>
      </c>
      <c r="L66" s="6"/>
      <c r="M66" s="6"/>
      <c r="N66" s="25"/>
      <c r="O66" s="6"/>
      <c r="P66" s="6"/>
      <c r="Q66" s="7"/>
      <c r="R66" s="7"/>
      <c r="S66" s="7"/>
      <c r="T66" s="23">
        <v>341452.685</v>
      </c>
      <c r="U66" s="7"/>
      <c r="V66" s="7"/>
      <c r="X66" s="9">
        <v>341452.38</v>
      </c>
      <c r="Y66" s="9"/>
      <c r="Z66" s="9"/>
      <c r="AA66" s="98"/>
      <c r="AB66" s="9"/>
      <c r="AC66" s="9"/>
      <c r="AE66" s="8">
        <v>251265.59999999998</v>
      </c>
      <c r="AF66" s="8"/>
      <c r="AG66" s="8"/>
      <c r="AH66" s="1"/>
      <c r="AI66" s="1"/>
      <c r="AJ66" s="1"/>
    </row>
    <row r="67" spans="1:36" x14ac:dyDescent="0.35">
      <c r="A67" s="2" t="s">
        <v>27</v>
      </c>
      <c r="B67" s="2" t="s">
        <v>112</v>
      </c>
      <c r="D67" s="2" t="s">
        <v>113</v>
      </c>
      <c r="E67" t="s">
        <v>311</v>
      </c>
      <c r="F67" s="4">
        <f>119622.22</f>
        <v>119622.22</v>
      </c>
      <c r="G67" s="101"/>
      <c r="H67" s="5"/>
      <c r="I67" s="5"/>
      <c r="J67" s="5"/>
      <c r="K67" s="6"/>
      <c r="L67" s="6"/>
      <c r="M67" s="6"/>
      <c r="N67" s="25"/>
      <c r="O67" s="6"/>
      <c r="P67" s="6"/>
      <c r="Q67" s="7">
        <v>119622.22</v>
      </c>
      <c r="R67" s="7"/>
      <c r="S67" s="7"/>
      <c r="T67" s="23"/>
      <c r="U67" s="7"/>
      <c r="V67" s="7"/>
      <c r="X67" s="9">
        <v>422418.89999999991</v>
      </c>
      <c r="Y67" s="9"/>
      <c r="Z67" s="9"/>
      <c r="AA67" s="98">
        <v>422418.89999999991</v>
      </c>
      <c r="AB67" s="9"/>
      <c r="AC67" s="9"/>
      <c r="AE67" s="8">
        <v>310846.8</v>
      </c>
      <c r="AF67" s="8"/>
      <c r="AG67" s="8"/>
      <c r="AH67" s="1"/>
      <c r="AI67" s="1"/>
      <c r="AJ67" s="1"/>
    </row>
    <row r="68" spans="1:36" x14ac:dyDescent="0.35">
      <c r="A68" s="2" t="s">
        <v>27</v>
      </c>
      <c r="B68" s="2" t="s">
        <v>112</v>
      </c>
      <c r="D68" s="2" t="s">
        <v>334</v>
      </c>
      <c r="E68" t="s">
        <v>310</v>
      </c>
      <c r="F68" s="4">
        <f>G68</f>
        <v>62000</v>
      </c>
      <c r="G68" s="101">
        <f t="shared" si="0"/>
        <v>62000</v>
      </c>
      <c r="H68" s="5"/>
      <c r="I68" s="5"/>
      <c r="J68" s="5">
        <f>P68</f>
        <v>62000</v>
      </c>
      <c r="K68" s="6"/>
      <c r="L68" s="6"/>
      <c r="M68" s="6"/>
      <c r="N68" s="25"/>
      <c r="O68" s="6"/>
      <c r="P68" s="6">
        <f>62000</f>
        <v>62000</v>
      </c>
      <c r="Q68" s="7"/>
      <c r="R68" s="7"/>
      <c r="S68" s="7"/>
      <c r="T68" s="23"/>
      <c r="U68" s="7"/>
      <c r="V68" s="7"/>
      <c r="X68" s="9"/>
      <c r="Y68" s="9"/>
      <c r="Z68" s="9">
        <v>61000</v>
      </c>
      <c r="AA68" s="98"/>
      <c r="AB68" s="9"/>
      <c r="AC68" s="9"/>
      <c r="AE68" s="8"/>
      <c r="AF68" s="8"/>
      <c r="AG68" s="8">
        <v>60000</v>
      </c>
      <c r="AH68" s="1"/>
      <c r="AI68" s="1"/>
      <c r="AJ68" s="1"/>
    </row>
    <row r="69" spans="1:36" x14ac:dyDescent="0.35">
      <c r="A69" s="2" t="s">
        <v>27</v>
      </c>
      <c r="B69" s="2" t="s">
        <v>112</v>
      </c>
      <c r="D69" s="2" t="s">
        <v>335</v>
      </c>
      <c r="E69" t="s">
        <v>311</v>
      </c>
      <c r="F69" s="4">
        <f>T69+G69</f>
        <v>1298710.98</v>
      </c>
      <c r="G69" s="101">
        <f t="shared" si="0"/>
        <v>719200</v>
      </c>
      <c r="H69" s="5">
        <f>K69+N69</f>
        <v>719200</v>
      </c>
      <c r="I69" s="5"/>
      <c r="J69" s="5"/>
      <c r="K69" s="6">
        <v>711619.88</v>
      </c>
      <c r="L69" s="6"/>
      <c r="M69" s="6"/>
      <c r="N69" s="25">
        <v>7580.12</v>
      </c>
      <c r="O69" s="6"/>
      <c r="P69" s="6"/>
      <c r="Q69" s="7"/>
      <c r="R69" s="7"/>
      <c r="S69" s="7"/>
      <c r="T69" s="23">
        <v>579510.98</v>
      </c>
      <c r="U69" s="7"/>
      <c r="V69" s="7"/>
      <c r="X69" s="9">
        <v>164549.94</v>
      </c>
      <c r="Y69" s="9"/>
      <c r="Z69" s="9"/>
      <c r="AA69" s="98">
        <v>-422418.89999999997</v>
      </c>
      <c r="AB69" s="9"/>
      <c r="AC69" s="9"/>
      <c r="AE69" s="8">
        <v>121087.2</v>
      </c>
      <c r="AF69" s="8"/>
      <c r="AG69" s="8"/>
      <c r="AH69" s="1"/>
      <c r="AI69" s="1"/>
      <c r="AJ69" s="1"/>
    </row>
    <row r="70" spans="1:36" x14ac:dyDescent="0.35">
      <c r="A70" s="2" t="s">
        <v>27</v>
      </c>
      <c r="B70" s="2" t="s">
        <v>112</v>
      </c>
      <c r="D70" s="2" t="s">
        <v>114</v>
      </c>
      <c r="E70" t="s">
        <v>115</v>
      </c>
      <c r="F70" s="4">
        <v>248000</v>
      </c>
      <c r="G70" s="101">
        <f t="shared" si="0"/>
        <v>248000</v>
      </c>
      <c r="H70" s="5">
        <v>248000</v>
      </c>
      <c r="I70" s="5"/>
      <c r="J70" s="5"/>
      <c r="K70" s="6"/>
      <c r="L70" s="6"/>
      <c r="M70" s="6"/>
      <c r="N70" s="25">
        <v>248000</v>
      </c>
      <c r="O70" s="6"/>
      <c r="P70" s="6"/>
      <c r="Q70" s="7"/>
      <c r="R70" s="7"/>
      <c r="S70" s="7"/>
      <c r="T70" s="23"/>
      <c r="U70" s="7"/>
      <c r="V70" s="7"/>
      <c r="X70" s="9">
        <v>244000</v>
      </c>
      <c r="Y70" s="9"/>
      <c r="Z70" s="9"/>
      <c r="AA70" s="98"/>
      <c r="AB70" s="9"/>
      <c r="AC70" s="9"/>
      <c r="AE70" s="8"/>
      <c r="AF70" s="8"/>
      <c r="AG70" s="8"/>
      <c r="AH70" s="1"/>
      <c r="AI70" s="1"/>
      <c r="AJ70" s="1"/>
    </row>
    <row r="71" spans="1:36" x14ac:dyDescent="0.35">
      <c r="A71" s="2" t="s">
        <v>27</v>
      </c>
      <c r="B71" s="2" t="s">
        <v>112</v>
      </c>
      <c r="D71" s="2" t="s">
        <v>116</v>
      </c>
      <c r="E71" t="s">
        <v>117</v>
      </c>
      <c r="F71" s="4">
        <v>100023</v>
      </c>
      <c r="G71" s="101">
        <f t="shared" ref="G71:G111" si="4">H71+I71+J71</f>
        <v>65569</v>
      </c>
      <c r="H71" s="5"/>
      <c r="I71" s="5">
        <v>65569</v>
      </c>
      <c r="J71" s="5"/>
      <c r="K71" s="6"/>
      <c r="L71" s="6">
        <v>50023</v>
      </c>
      <c r="M71" s="6"/>
      <c r="N71" s="25"/>
      <c r="O71" s="6">
        <v>15546</v>
      </c>
      <c r="P71" s="6"/>
      <c r="Q71" s="7"/>
      <c r="R71" s="7"/>
      <c r="S71" s="7"/>
      <c r="T71" s="23"/>
      <c r="U71" s="7">
        <v>34454</v>
      </c>
      <c r="V71" s="7"/>
      <c r="X71" s="9"/>
      <c r="Y71" s="9">
        <v>50000</v>
      </c>
      <c r="Z71" s="9"/>
      <c r="AA71" s="98"/>
      <c r="AB71" s="9"/>
      <c r="AC71" s="9"/>
      <c r="AE71" s="8"/>
      <c r="AF71" s="8">
        <v>54189</v>
      </c>
      <c r="AG71" s="8"/>
      <c r="AH71" s="1"/>
      <c r="AI71" s="1"/>
      <c r="AJ71" s="1"/>
    </row>
    <row r="72" spans="1:36" x14ac:dyDescent="0.35">
      <c r="A72" s="2" t="s">
        <v>27</v>
      </c>
      <c r="B72" s="2" t="s">
        <v>112</v>
      </c>
      <c r="D72" s="2" t="s">
        <v>118</v>
      </c>
      <c r="E72" t="s">
        <v>119</v>
      </c>
      <c r="F72" s="4">
        <v>81398</v>
      </c>
      <c r="G72" s="101">
        <f t="shared" si="4"/>
        <v>60000</v>
      </c>
      <c r="H72" s="5"/>
      <c r="I72" s="5">
        <v>60000</v>
      </c>
      <c r="J72" s="5"/>
      <c r="K72" s="6"/>
      <c r="L72" s="6">
        <v>21398</v>
      </c>
      <c r="M72" s="6"/>
      <c r="N72" s="25"/>
      <c r="O72" s="6">
        <v>38602</v>
      </c>
      <c r="P72" s="6"/>
      <c r="Q72" s="7"/>
      <c r="R72" s="7"/>
      <c r="S72" s="7"/>
      <c r="T72" s="23"/>
      <c r="U72" s="7">
        <v>21398</v>
      </c>
      <c r="V72" s="7"/>
      <c r="X72" s="9"/>
      <c r="Y72" s="9">
        <v>60000</v>
      </c>
      <c r="Z72" s="9"/>
      <c r="AA72" s="98"/>
      <c r="AB72" s="9"/>
      <c r="AC72" s="9"/>
      <c r="AE72" s="8"/>
      <c r="AF72" s="8">
        <v>45158</v>
      </c>
      <c r="AG72" s="8"/>
      <c r="AH72" s="1"/>
      <c r="AI72" s="1"/>
      <c r="AJ72" s="1"/>
    </row>
    <row r="73" spans="1:36" x14ac:dyDescent="0.35">
      <c r="A73" s="2" t="s">
        <v>27</v>
      </c>
      <c r="B73" s="2" t="s">
        <v>112</v>
      </c>
      <c r="D73" s="2" t="s">
        <v>120</v>
      </c>
      <c r="E73" t="s">
        <v>121</v>
      </c>
      <c r="F73" s="4">
        <v>422904.48</v>
      </c>
      <c r="G73" s="101">
        <f t="shared" si="4"/>
        <v>422904.48</v>
      </c>
      <c r="H73" s="5">
        <v>323704.48</v>
      </c>
      <c r="I73" s="5"/>
      <c r="J73" s="5">
        <v>99200</v>
      </c>
      <c r="K73" s="6"/>
      <c r="L73" s="6"/>
      <c r="M73" s="6"/>
      <c r="N73" s="25">
        <v>323704.48</v>
      </c>
      <c r="O73" s="6"/>
      <c r="P73" s="6">
        <v>99200</v>
      </c>
      <c r="Q73" s="7"/>
      <c r="R73" s="7"/>
      <c r="S73" s="7"/>
      <c r="T73" s="23"/>
      <c r="U73" s="7"/>
      <c r="V73" s="7"/>
      <c r="X73" s="9">
        <v>318483.44</v>
      </c>
      <c r="Y73" s="9"/>
      <c r="Z73" s="9">
        <v>97600</v>
      </c>
      <c r="AA73" s="98"/>
      <c r="AB73" s="9"/>
      <c r="AC73" s="9"/>
      <c r="AE73" s="8"/>
      <c r="AF73" s="8"/>
      <c r="AG73" s="8"/>
      <c r="AH73" s="1"/>
      <c r="AI73" s="1"/>
      <c r="AJ73" s="1"/>
    </row>
    <row r="74" spans="1:36" x14ac:dyDescent="0.35">
      <c r="A74" s="2" t="s">
        <v>27</v>
      </c>
      <c r="B74" s="2" t="s">
        <v>122</v>
      </c>
      <c r="D74" s="2" t="s">
        <v>123</v>
      </c>
      <c r="E74" t="s">
        <v>124</v>
      </c>
      <c r="F74" s="4"/>
      <c r="G74" s="101"/>
      <c r="H74" s="5"/>
      <c r="I74" s="5"/>
      <c r="J74" s="5"/>
      <c r="K74" s="6"/>
      <c r="L74" s="6"/>
      <c r="M74" s="6"/>
      <c r="N74" s="25"/>
      <c r="O74" s="6"/>
      <c r="P74" s="6"/>
      <c r="Q74" s="7"/>
      <c r="R74" s="7"/>
      <c r="S74" s="7"/>
      <c r="T74" s="23"/>
      <c r="U74" s="7"/>
      <c r="V74" s="7"/>
      <c r="X74" s="9"/>
      <c r="Y74" s="9"/>
      <c r="Z74" s="9">
        <v>101666.26</v>
      </c>
      <c r="AA74" s="98"/>
      <c r="AB74" s="9"/>
      <c r="AC74" s="9">
        <v>101666.26</v>
      </c>
      <c r="AD74" t="s">
        <v>343</v>
      </c>
      <c r="AE74" s="8"/>
      <c r="AF74" s="8"/>
      <c r="AG74" s="8"/>
      <c r="AH74" s="1"/>
      <c r="AI74" s="1"/>
      <c r="AJ74" s="1"/>
    </row>
    <row r="75" spans="1:36" x14ac:dyDescent="0.35">
      <c r="A75" s="2" t="s">
        <v>27</v>
      </c>
      <c r="B75" s="2" t="s">
        <v>122</v>
      </c>
      <c r="D75" s="2" t="s">
        <v>125</v>
      </c>
      <c r="E75" t="s">
        <v>126</v>
      </c>
      <c r="F75" s="4">
        <v>519544.58</v>
      </c>
      <c r="G75" s="101">
        <f t="shared" si="4"/>
        <v>148800</v>
      </c>
      <c r="H75" s="5">
        <v>86800</v>
      </c>
      <c r="I75" s="5"/>
      <c r="J75" s="5">
        <v>62000</v>
      </c>
      <c r="K75" s="6">
        <v>11022.36</v>
      </c>
      <c r="L75" s="6"/>
      <c r="M75" s="6">
        <v>62000</v>
      </c>
      <c r="N75" s="25">
        <v>75777.64</v>
      </c>
      <c r="O75" s="6"/>
      <c r="P75" s="6"/>
      <c r="Q75" s="7"/>
      <c r="R75" s="7"/>
      <c r="S75" s="7"/>
      <c r="T75" s="23">
        <v>370744.58</v>
      </c>
      <c r="U75" s="7"/>
      <c r="V75" s="7"/>
      <c r="X75" s="9">
        <v>445300</v>
      </c>
      <c r="Y75" s="9"/>
      <c r="Z75" s="9"/>
      <c r="AA75" s="98"/>
      <c r="AB75" s="9"/>
      <c r="AC75" s="9"/>
      <c r="AE75" s="8">
        <v>162000</v>
      </c>
      <c r="AF75" s="8"/>
      <c r="AG75" s="8"/>
      <c r="AH75" s="1"/>
      <c r="AI75" s="1"/>
      <c r="AJ75" s="1"/>
    </row>
    <row r="76" spans="1:36" x14ac:dyDescent="0.35">
      <c r="A76" s="2" t="s">
        <v>27</v>
      </c>
      <c r="B76" s="2" t="s">
        <v>122</v>
      </c>
      <c r="D76" s="2" t="s">
        <v>127</v>
      </c>
      <c r="E76" t="s">
        <v>128</v>
      </c>
      <c r="F76" s="4">
        <v>463885.58</v>
      </c>
      <c r="G76" s="101">
        <f t="shared" si="4"/>
        <v>108473.96</v>
      </c>
      <c r="H76" s="5">
        <v>108473.96</v>
      </c>
      <c r="I76" s="5"/>
      <c r="J76" s="5"/>
      <c r="K76" s="6"/>
      <c r="L76" s="6"/>
      <c r="M76" s="6"/>
      <c r="N76" s="25">
        <v>108473.96</v>
      </c>
      <c r="O76" s="6"/>
      <c r="P76" s="6"/>
      <c r="Q76" s="7"/>
      <c r="R76" s="7"/>
      <c r="S76" s="7"/>
      <c r="T76" s="23">
        <v>355411.62</v>
      </c>
      <c r="U76" s="7"/>
      <c r="V76" s="7"/>
      <c r="X76" s="9">
        <v>462136</v>
      </c>
      <c r="Y76" s="9"/>
      <c r="Z76" s="9"/>
      <c r="AA76" s="98"/>
      <c r="AB76" s="9"/>
      <c r="AC76" s="9"/>
      <c r="AE76" s="8">
        <v>190080</v>
      </c>
      <c r="AF76" s="8"/>
      <c r="AG76" s="8"/>
      <c r="AH76" s="1"/>
      <c r="AI76" s="1"/>
      <c r="AJ76" s="1"/>
    </row>
    <row r="77" spans="1:36" x14ac:dyDescent="0.35">
      <c r="A77" s="2" t="s">
        <v>27</v>
      </c>
      <c r="B77" s="2" t="s">
        <v>122</v>
      </c>
      <c r="D77" s="2" t="s">
        <v>368</v>
      </c>
      <c r="E77" t="s">
        <v>129</v>
      </c>
      <c r="F77" s="4">
        <v>617365.52</v>
      </c>
      <c r="G77" s="101">
        <f t="shared" si="4"/>
        <v>267562.23999999999</v>
      </c>
      <c r="H77" s="5">
        <v>267562.23999999999</v>
      </c>
      <c r="I77" s="5"/>
      <c r="J77" s="5"/>
      <c r="K77" s="6">
        <v>62000</v>
      </c>
      <c r="L77" s="6"/>
      <c r="M77" s="6"/>
      <c r="N77" s="25">
        <v>205562.23999999999</v>
      </c>
      <c r="O77" s="6"/>
      <c r="P77" s="6"/>
      <c r="Q77" s="7"/>
      <c r="R77" s="7"/>
      <c r="S77" s="7"/>
      <c r="T77" s="23">
        <v>349803.27999999997</v>
      </c>
      <c r="U77" s="7"/>
      <c r="V77" s="7"/>
      <c r="X77" s="9">
        <v>552050</v>
      </c>
      <c r="Y77" s="9"/>
      <c r="Z77" s="9"/>
      <c r="AA77" s="98"/>
      <c r="AB77" s="9"/>
      <c r="AC77" s="9"/>
      <c r="AE77" s="8">
        <v>105000</v>
      </c>
      <c r="AF77" s="8"/>
      <c r="AG77" s="8"/>
      <c r="AH77" s="1"/>
      <c r="AI77" s="1"/>
      <c r="AJ77" s="1"/>
    </row>
    <row r="78" spans="1:36" x14ac:dyDescent="0.35">
      <c r="A78" s="2" t="s">
        <v>27</v>
      </c>
      <c r="B78" s="2" t="s">
        <v>122</v>
      </c>
      <c r="D78" s="2" t="s">
        <v>367</v>
      </c>
      <c r="E78" t="s">
        <v>130</v>
      </c>
      <c r="F78" s="4">
        <v>108773</v>
      </c>
      <c r="G78" s="101">
        <f>H78+I78+J78</f>
        <v>58773</v>
      </c>
      <c r="H78" s="5"/>
      <c r="I78" s="5">
        <f>L78</f>
        <v>58773</v>
      </c>
      <c r="J78" s="5"/>
      <c r="K78" s="6"/>
      <c r="L78" s="6">
        <f>55000+3773</f>
        <v>58773</v>
      </c>
      <c r="M78" s="6"/>
      <c r="N78" s="25"/>
      <c r="O78" s="6"/>
      <c r="P78" s="6"/>
      <c r="Q78" s="7"/>
      <c r="R78" s="7"/>
      <c r="S78" s="7"/>
      <c r="T78" s="23"/>
      <c r="U78" s="7">
        <f>50000+3772.36</f>
        <v>53772.36</v>
      </c>
      <c r="V78" s="7"/>
      <c r="X78" s="9"/>
      <c r="Y78" s="9">
        <v>50000</v>
      </c>
      <c r="Z78" s="9"/>
      <c r="AA78" s="98"/>
      <c r="AB78" s="9"/>
      <c r="AC78" s="9"/>
      <c r="AE78" s="8"/>
      <c r="AF78" s="8">
        <v>52300</v>
      </c>
      <c r="AG78" s="8"/>
      <c r="AH78" s="1"/>
      <c r="AI78" s="1"/>
      <c r="AJ78" s="1"/>
    </row>
    <row r="79" spans="1:36" x14ac:dyDescent="0.35">
      <c r="A79" s="2" t="s">
        <v>27</v>
      </c>
      <c r="B79" s="2" t="s">
        <v>122</v>
      </c>
      <c r="D79" s="2" t="s">
        <v>131</v>
      </c>
      <c r="E79" t="s">
        <v>132</v>
      </c>
      <c r="F79" s="4">
        <v>372000</v>
      </c>
      <c r="G79" s="101">
        <f t="shared" si="4"/>
        <v>372000</v>
      </c>
      <c r="H79" s="5">
        <v>372000</v>
      </c>
      <c r="I79" s="5"/>
      <c r="J79" s="5"/>
      <c r="K79" s="6"/>
      <c r="L79" s="6"/>
      <c r="M79" s="6"/>
      <c r="N79" s="25">
        <v>372000</v>
      </c>
      <c r="O79" s="6"/>
      <c r="P79" s="6"/>
      <c r="Q79" s="7"/>
      <c r="R79" s="7"/>
      <c r="S79" s="7"/>
      <c r="T79" s="23"/>
      <c r="U79" s="7"/>
      <c r="V79" s="7"/>
      <c r="X79" s="9">
        <v>610000</v>
      </c>
      <c r="Y79" s="9"/>
      <c r="Z79" s="9"/>
      <c r="AA79" s="98">
        <v>244000</v>
      </c>
      <c r="AB79" s="9"/>
      <c r="AC79" s="9"/>
      <c r="AE79" s="8"/>
      <c r="AF79" s="8"/>
      <c r="AG79" s="8"/>
      <c r="AH79" s="1"/>
      <c r="AI79" s="1"/>
      <c r="AJ79" s="1"/>
    </row>
    <row r="80" spans="1:36" x14ac:dyDescent="0.35">
      <c r="A80" s="2" t="s">
        <v>27</v>
      </c>
      <c r="B80" s="2" t="s">
        <v>122</v>
      </c>
      <c r="D80" s="2" t="s">
        <v>317</v>
      </c>
      <c r="E80" t="s">
        <v>133</v>
      </c>
      <c r="F80" s="4">
        <v>496272</v>
      </c>
      <c r="G80" s="101">
        <f t="shared" si="4"/>
        <v>496271.74</v>
      </c>
      <c r="H80" s="5"/>
      <c r="I80" s="5"/>
      <c r="J80" s="5">
        <f>M80+P80</f>
        <v>496271.74</v>
      </c>
      <c r="K80" s="6"/>
      <c r="L80" s="6"/>
      <c r="M80" s="6">
        <f>50934-996</f>
        <v>49938</v>
      </c>
      <c r="N80" s="25"/>
      <c r="O80" s="6"/>
      <c r="P80" s="6">
        <v>446333.74</v>
      </c>
      <c r="Q80" s="7">
        <v>119731.2</v>
      </c>
      <c r="R80" s="7"/>
      <c r="S80" s="7"/>
      <c r="T80" s="23">
        <v>-121726.72</v>
      </c>
      <c r="U80" s="7"/>
      <c r="V80" s="7">
        <v>498267.52</v>
      </c>
      <c r="X80" s="9">
        <v>386333.74</v>
      </c>
      <c r="Y80" s="9"/>
      <c r="Z80" s="9"/>
      <c r="AA80" s="98">
        <v>506064.94</v>
      </c>
      <c r="AB80" s="9"/>
      <c r="AC80" s="9">
        <v>-935406.80870967743</v>
      </c>
      <c r="AE80" s="8">
        <v>60000</v>
      </c>
      <c r="AF80" s="8"/>
      <c r="AG80" s="8"/>
      <c r="AH80" s="1"/>
      <c r="AI80" s="1"/>
      <c r="AJ80" s="1"/>
    </row>
    <row r="81" spans="1:36" x14ac:dyDescent="0.35">
      <c r="A81" s="2" t="s">
        <v>27</v>
      </c>
      <c r="B81" s="2" t="s">
        <v>122</v>
      </c>
      <c r="D81" s="2" t="s">
        <v>134</v>
      </c>
      <c r="E81" t="s">
        <v>135</v>
      </c>
      <c r="F81" s="4"/>
      <c r="G81" s="101"/>
      <c r="H81" s="5"/>
      <c r="I81" s="5"/>
      <c r="J81" s="5"/>
      <c r="K81" s="6"/>
      <c r="L81" s="6"/>
      <c r="M81" s="6"/>
      <c r="N81" s="25"/>
      <c r="O81" s="6"/>
      <c r="P81" s="6"/>
      <c r="Q81" s="7"/>
      <c r="R81" s="7"/>
      <c r="S81" s="7"/>
      <c r="T81" s="23"/>
      <c r="U81" s="7"/>
      <c r="V81" s="7"/>
      <c r="X81" s="9">
        <v>266709.08</v>
      </c>
      <c r="Y81" s="9"/>
      <c r="Z81" s="9"/>
      <c r="AA81" s="98">
        <v>266709.08</v>
      </c>
      <c r="AB81" s="9"/>
      <c r="AC81" s="9"/>
      <c r="AD81" t="s">
        <v>343</v>
      </c>
      <c r="AE81" s="8"/>
      <c r="AF81" s="8"/>
      <c r="AG81" s="8"/>
      <c r="AH81" s="1"/>
      <c r="AI81" s="1"/>
      <c r="AJ81" s="1"/>
    </row>
    <row r="82" spans="1:36" x14ac:dyDescent="0.35">
      <c r="A82" s="2" t="s">
        <v>27</v>
      </c>
      <c r="B82" s="2" t="s">
        <v>122</v>
      </c>
      <c r="D82" s="2" t="s">
        <v>136</v>
      </c>
      <c r="E82" t="s">
        <v>137</v>
      </c>
      <c r="F82" s="4"/>
      <c r="G82" s="101"/>
      <c r="H82" s="5"/>
      <c r="I82" s="5"/>
      <c r="J82" s="5"/>
      <c r="K82" s="6"/>
      <c r="L82" s="6"/>
      <c r="M82" s="6"/>
      <c r="N82" s="25"/>
      <c r="O82" s="6"/>
      <c r="P82" s="6"/>
      <c r="Q82" s="7"/>
      <c r="R82" s="7"/>
      <c r="S82" s="7"/>
      <c r="T82" s="23"/>
      <c r="U82" s="7"/>
      <c r="V82" s="7"/>
      <c r="X82" s="9">
        <v>124999.98</v>
      </c>
      <c r="Y82" s="9"/>
      <c r="Z82" s="9"/>
      <c r="AA82" s="98">
        <v>124999.98</v>
      </c>
      <c r="AB82" s="9"/>
      <c r="AC82" s="9"/>
      <c r="AD82" t="s">
        <v>343</v>
      </c>
      <c r="AE82" s="8"/>
      <c r="AF82" s="8"/>
      <c r="AG82" s="8"/>
      <c r="AH82" s="1"/>
      <c r="AI82" s="1"/>
      <c r="AJ82" s="1"/>
    </row>
    <row r="83" spans="1:36" x14ac:dyDescent="0.35">
      <c r="A83" s="2" t="s">
        <v>27</v>
      </c>
      <c r="B83" s="2" t="s">
        <v>122</v>
      </c>
      <c r="D83" s="2" t="s">
        <v>138</v>
      </c>
      <c r="E83" t="s">
        <v>139</v>
      </c>
      <c r="F83" s="4">
        <v>197853.41999999998</v>
      </c>
      <c r="G83" s="101">
        <f t="shared" si="4"/>
        <v>88040</v>
      </c>
      <c r="H83" s="5"/>
      <c r="I83" s="5"/>
      <c r="J83" s="5">
        <v>88040</v>
      </c>
      <c r="K83" s="6"/>
      <c r="L83" s="6"/>
      <c r="M83" s="6"/>
      <c r="N83" s="25"/>
      <c r="O83" s="6"/>
      <c r="P83" s="6">
        <v>88040</v>
      </c>
      <c r="Q83" s="7"/>
      <c r="R83" s="7"/>
      <c r="S83" s="7"/>
      <c r="T83" s="23"/>
      <c r="U83" s="7"/>
      <c r="V83" s="7">
        <v>109813.42</v>
      </c>
      <c r="X83" s="9"/>
      <c r="Y83" s="9"/>
      <c r="Z83" s="9">
        <v>202520</v>
      </c>
      <c r="AA83" s="98"/>
      <c r="AB83" s="9"/>
      <c r="AC83" s="9">
        <v>6086.58</v>
      </c>
      <c r="AE83" s="8"/>
      <c r="AF83" s="8"/>
      <c r="AG83" s="8"/>
      <c r="AH83" s="1"/>
      <c r="AI83" s="1"/>
      <c r="AJ83" s="1"/>
    </row>
    <row r="84" spans="1:36" x14ac:dyDescent="0.35">
      <c r="A84" s="2" t="s">
        <v>27</v>
      </c>
      <c r="B84" s="2" t="s">
        <v>122</v>
      </c>
      <c r="D84" s="2" t="s">
        <v>140</v>
      </c>
      <c r="E84" t="s">
        <v>141</v>
      </c>
      <c r="F84" s="4">
        <v>93000</v>
      </c>
      <c r="G84" s="101">
        <f t="shared" si="4"/>
        <v>93000</v>
      </c>
      <c r="H84" s="5"/>
      <c r="I84" s="5"/>
      <c r="J84" s="5">
        <v>93000</v>
      </c>
      <c r="K84" s="6"/>
      <c r="L84" s="6"/>
      <c r="M84" s="6">
        <v>93000</v>
      </c>
      <c r="N84" s="25"/>
      <c r="O84" s="6"/>
      <c r="P84" s="6"/>
      <c r="Q84" s="7"/>
      <c r="R84" s="7"/>
      <c r="S84" s="7"/>
      <c r="T84" s="23"/>
      <c r="U84" s="7"/>
      <c r="V84" s="7"/>
      <c r="X84" s="9"/>
      <c r="Y84" s="9"/>
      <c r="Z84" s="9"/>
      <c r="AA84" s="98"/>
      <c r="AB84" s="9"/>
      <c r="AC84" s="9"/>
      <c r="AE84" s="8"/>
      <c r="AF84" s="8"/>
      <c r="AG84" s="8"/>
      <c r="AH84" s="1"/>
      <c r="AI84" s="1"/>
      <c r="AJ84" s="1"/>
    </row>
    <row r="85" spans="1:36" x14ac:dyDescent="0.35">
      <c r="A85" s="2" t="s">
        <v>27</v>
      </c>
      <c r="B85" s="2" t="s">
        <v>122</v>
      </c>
      <c r="D85" s="2" t="s">
        <v>142</v>
      </c>
      <c r="E85" t="s">
        <v>143</v>
      </c>
      <c r="F85" s="4">
        <v>326600</v>
      </c>
      <c r="G85" s="101">
        <f t="shared" si="4"/>
        <v>326600</v>
      </c>
      <c r="H85" s="5"/>
      <c r="I85" s="5">
        <v>215000</v>
      </c>
      <c r="J85" s="5">
        <v>111600</v>
      </c>
      <c r="K85" s="6"/>
      <c r="L85" s="6">
        <v>215000</v>
      </c>
      <c r="M85" s="6">
        <v>111600</v>
      </c>
      <c r="N85" s="25"/>
      <c r="O85" s="6"/>
      <c r="P85" s="6"/>
      <c r="Q85" s="7"/>
      <c r="R85" s="7"/>
      <c r="S85" s="7"/>
      <c r="T85" s="23"/>
      <c r="U85" s="7"/>
      <c r="V85" s="7"/>
      <c r="X85" s="9"/>
      <c r="Y85" s="9"/>
      <c r="Z85" s="9"/>
      <c r="AA85" s="98"/>
      <c r="AB85" s="9"/>
      <c r="AC85" s="9"/>
      <c r="AE85" s="8"/>
      <c r="AF85" s="8"/>
      <c r="AG85" s="8"/>
      <c r="AH85" s="1"/>
      <c r="AI85" s="1"/>
      <c r="AJ85" s="1"/>
    </row>
    <row r="86" spans="1:36" x14ac:dyDescent="0.35">
      <c r="A86" s="2" t="s">
        <v>27</v>
      </c>
      <c r="B86" s="2" t="s">
        <v>122</v>
      </c>
      <c r="D86" s="2" t="s">
        <v>144</v>
      </c>
      <c r="E86" t="s">
        <v>145</v>
      </c>
      <c r="F86" s="4">
        <v>62000</v>
      </c>
      <c r="G86" s="101">
        <f t="shared" si="4"/>
        <v>62000</v>
      </c>
      <c r="H86" s="5"/>
      <c r="I86" s="5"/>
      <c r="J86" s="5">
        <v>62000</v>
      </c>
      <c r="K86" s="6"/>
      <c r="L86" s="6"/>
      <c r="M86" s="6">
        <v>62000</v>
      </c>
      <c r="N86" s="25"/>
      <c r="O86" s="6"/>
      <c r="P86" s="6"/>
      <c r="Q86" s="7"/>
      <c r="R86" s="7"/>
      <c r="S86" s="7"/>
      <c r="T86" s="23"/>
      <c r="U86" s="7"/>
      <c r="V86" s="7"/>
      <c r="X86" s="9"/>
      <c r="Y86" s="9"/>
      <c r="Z86" s="9"/>
      <c r="AA86" s="98"/>
      <c r="AB86" s="9"/>
      <c r="AC86" s="9"/>
      <c r="AE86" s="8"/>
      <c r="AF86" s="8"/>
      <c r="AG86" s="8"/>
      <c r="AH86" s="1"/>
      <c r="AI86" s="1"/>
      <c r="AJ86" s="1"/>
    </row>
    <row r="87" spans="1:36" x14ac:dyDescent="0.35">
      <c r="A87" s="2" t="s">
        <v>27</v>
      </c>
      <c r="B87" s="2" t="s">
        <v>146</v>
      </c>
      <c r="D87" s="2" t="s">
        <v>147</v>
      </c>
      <c r="E87" t="s">
        <v>148</v>
      </c>
      <c r="F87" s="4">
        <v>162205.44399999999</v>
      </c>
      <c r="G87" s="101"/>
      <c r="H87" s="5"/>
      <c r="I87" s="5"/>
      <c r="J87" s="5"/>
      <c r="K87" s="6"/>
      <c r="L87" s="6"/>
      <c r="M87" s="6"/>
      <c r="N87" s="25"/>
      <c r="O87" s="6"/>
      <c r="P87" s="6"/>
      <c r="Q87" s="7"/>
      <c r="R87" s="7"/>
      <c r="S87" s="7">
        <v>162205.44399999999</v>
      </c>
      <c r="T87" s="23"/>
      <c r="U87" s="7"/>
      <c r="V87" s="7"/>
      <c r="X87" s="9"/>
      <c r="Y87" s="9"/>
      <c r="Z87" s="9"/>
      <c r="AA87" s="98"/>
      <c r="AB87" s="9"/>
      <c r="AC87" s="9"/>
      <c r="AE87" s="8"/>
      <c r="AF87" s="8"/>
      <c r="AG87" s="8">
        <v>162414.44399999999</v>
      </c>
      <c r="AH87" s="1"/>
      <c r="AI87" s="1"/>
      <c r="AJ87" s="1"/>
    </row>
    <row r="88" spans="1:36" x14ac:dyDescent="0.35">
      <c r="A88" s="2" t="s">
        <v>27</v>
      </c>
      <c r="B88" s="2" t="s">
        <v>149</v>
      </c>
      <c r="D88" s="2" t="s">
        <v>150</v>
      </c>
      <c r="E88" t="s">
        <v>151</v>
      </c>
      <c r="F88" s="4"/>
      <c r="G88" s="101"/>
      <c r="H88" s="5"/>
      <c r="I88" s="5"/>
      <c r="J88" s="5"/>
      <c r="K88" s="6"/>
      <c r="L88" s="6"/>
      <c r="M88" s="6"/>
      <c r="N88" s="25"/>
      <c r="O88" s="6"/>
      <c r="P88" s="6"/>
      <c r="Q88" s="7"/>
      <c r="R88" s="7"/>
      <c r="S88" s="7"/>
      <c r="T88" s="23"/>
      <c r="U88" s="7"/>
      <c r="V88" s="7"/>
      <c r="X88" s="9">
        <v>122000</v>
      </c>
      <c r="Y88" s="9"/>
      <c r="Z88" s="9"/>
      <c r="AA88" s="98">
        <v>122000</v>
      </c>
      <c r="AB88" s="9"/>
      <c r="AC88" s="9"/>
      <c r="AD88" t="s">
        <v>343</v>
      </c>
      <c r="AE88" s="8"/>
      <c r="AF88" s="8"/>
      <c r="AG88" s="8"/>
      <c r="AH88" s="1"/>
      <c r="AI88" s="1"/>
      <c r="AJ88" s="1"/>
    </row>
    <row r="89" spans="1:36" x14ac:dyDescent="0.35">
      <c r="A89" s="2" t="s">
        <v>27</v>
      </c>
      <c r="B89" s="2" t="s">
        <v>149</v>
      </c>
      <c r="D89" s="2" t="s">
        <v>152</v>
      </c>
      <c r="E89" t="s">
        <v>153</v>
      </c>
      <c r="F89" s="4">
        <v>22130.006999999998</v>
      </c>
      <c r="G89" s="101"/>
      <c r="H89" s="5"/>
      <c r="I89" s="5"/>
      <c r="J89" s="5"/>
      <c r="K89" s="6"/>
      <c r="L89" s="6"/>
      <c r="M89" s="6"/>
      <c r="N89" s="25"/>
      <c r="O89" s="6"/>
      <c r="P89" s="6"/>
      <c r="Q89" s="7"/>
      <c r="R89" s="7"/>
      <c r="S89" s="7"/>
      <c r="T89" s="23"/>
      <c r="U89" s="7"/>
      <c r="V89" s="7">
        <v>22130.006999999998</v>
      </c>
      <c r="X89" s="9"/>
      <c r="Y89" s="9"/>
      <c r="Z89" s="9">
        <v>36478</v>
      </c>
      <c r="AA89" s="98"/>
      <c r="AB89" s="9"/>
      <c r="AC89" s="9">
        <v>14347.993000000002</v>
      </c>
      <c r="AE89" s="8"/>
      <c r="AF89" s="8"/>
      <c r="AG89" s="8"/>
      <c r="AH89" s="1"/>
      <c r="AI89" s="1"/>
      <c r="AJ89" s="1"/>
    </row>
    <row r="90" spans="1:36" x14ac:dyDescent="0.35">
      <c r="A90" s="2" t="s">
        <v>27</v>
      </c>
      <c r="B90" s="2" t="s">
        <v>154</v>
      </c>
      <c r="D90" s="2" t="s">
        <v>376</v>
      </c>
      <c r="E90" t="s">
        <v>155</v>
      </c>
      <c r="F90" s="4">
        <f>436333.34+665</f>
        <v>436998.34</v>
      </c>
      <c r="G90" s="101">
        <v>665</v>
      </c>
      <c r="H90" s="5"/>
      <c r="I90" s="5"/>
      <c r="J90" s="5">
        <v>665</v>
      </c>
      <c r="K90" s="6"/>
      <c r="L90" s="6"/>
      <c r="M90" s="6">
        <v>665</v>
      </c>
      <c r="N90" s="25"/>
      <c r="O90" s="6"/>
      <c r="P90" s="6"/>
      <c r="Q90" s="7"/>
      <c r="R90" s="7"/>
      <c r="S90" s="7">
        <v>282390.40000000002</v>
      </c>
      <c r="T90" s="23"/>
      <c r="U90" s="7"/>
      <c r="V90" s="7">
        <v>154606.94</v>
      </c>
      <c r="X90" s="9"/>
      <c r="Y90" s="9"/>
      <c r="Z90" s="9">
        <v>154606.94</v>
      </c>
      <c r="AA90" s="98"/>
      <c r="AB90" s="9"/>
      <c r="AC90" s="9"/>
      <c r="AE90" s="8"/>
      <c r="AF90" s="8"/>
      <c r="AG90" s="8">
        <v>432000</v>
      </c>
      <c r="AH90" s="1"/>
      <c r="AI90" s="1"/>
      <c r="AJ90" s="1"/>
    </row>
    <row r="91" spans="1:36" x14ac:dyDescent="0.35">
      <c r="A91" s="2" t="s">
        <v>27</v>
      </c>
      <c r="B91" s="2" t="s">
        <v>372</v>
      </c>
      <c r="D91" s="2" t="s">
        <v>157</v>
      </c>
      <c r="E91" t="s">
        <v>158</v>
      </c>
      <c r="F91" s="4">
        <v>380305.56</v>
      </c>
      <c r="G91" s="101"/>
      <c r="H91" s="5"/>
      <c r="I91" s="5"/>
      <c r="J91" s="5"/>
      <c r="K91" s="6"/>
      <c r="L91" s="6"/>
      <c r="M91" s="6"/>
      <c r="N91" s="25"/>
      <c r="O91" s="6"/>
      <c r="P91" s="6"/>
      <c r="Q91" s="7">
        <v>185132.4</v>
      </c>
      <c r="R91" s="7"/>
      <c r="S91" s="7"/>
      <c r="T91" s="23">
        <v>195173.16</v>
      </c>
      <c r="U91" s="7"/>
      <c r="V91" s="7"/>
      <c r="X91" s="9">
        <v>195200</v>
      </c>
      <c r="Y91" s="9"/>
      <c r="Z91" s="9"/>
      <c r="AA91" s="98">
        <v>26.839999999996508</v>
      </c>
      <c r="AB91" s="9"/>
      <c r="AC91" s="9"/>
      <c r="AE91" s="8">
        <v>240000</v>
      </c>
      <c r="AF91" s="8"/>
      <c r="AG91" s="8"/>
      <c r="AH91" s="1"/>
      <c r="AI91" s="1"/>
      <c r="AJ91" s="1"/>
    </row>
    <row r="92" spans="1:36" x14ac:dyDescent="0.35">
      <c r="A92" s="2" t="s">
        <v>27</v>
      </c>
      <c r="B92" s="2" t="s">
        <v>372</v>
      </c>
      <c r="D92" s="2" t="s">
        <v>157</v>
      </c>
      <c r="E92" t="s">
        <v>159</v>
      </c>
      <c r="F92" s="4">
        <v>36600</v>
      </c>
      <c r="G92" s="101"/>
      <c r="H92" s="5"/>
      <c r="I92" s="5"/>
      <c r="J92" s="5"/>
      <c r="K92" s="6"/>
      <c r="L92" s="6"/>
      <c r="M92" s="6"/>
      <c r="N92" s="25"/>
      <c r="O92" s="6"/>
      <c r="P92" s="6"/>
      <c r="Q92" s="7"/>
      <c r="R92" s="7"/>
      <c r="S92" s="7"/>
      <c r="T92" s="23"/>
      <c r="U92" s="7"/>
      <c r="V92" s="7">
        <v>36600</v>
      </c>
      <c r="X92" s="9"/>
      <c r="Y92" s="9"/>
      <c r="Z92" s="9">
        <v>36600</v>
      </c>
      <c r="AA92" s="98"/>
      <c r="AB92" s="9"/>
      <c r="AC92" s="9"/>
      <c r="AE92" s="8"/>
      <c r="AF92" s="8"/>
      <c r="AG92" s="8">
        <v>12000</v>
      </c>
      <c r="AH92" s="1"/>
      <c r="AI92" s="1"/>
      <c r="AJ92" s="1"/>
    </row>
    <row r="93" spans="1:36" x14ac:dyDescent="0.35">
      <c r="A93" s="2" t="s">
        <v>27</v>
      </c>
      <c r="B93" s="2" t="s">
        <v>372</v>
      </c>
      <c r="D93" s="2" t="s">
        <v>315</v>
      </c>
      <c r="E93" t="s">
        <v>160</v>
      </c>
      <c r="F93" s="4">
        <v>407978.7</v>
      </c>
      <c r="G93" s="101">
        <f t="shared" si="4"/>
        <v>28469</v>
      </c>
      <c r="H93" s="5"/>
      <c r="I93" s="5"/>
      <c r="J93" s="5">
        <v>28469</v>
      </c>
      <c r="K93" s="6"/>
      <c r="L93" s="6"/>
      <c r="M93" s="6">
        <v>28469</v>
      </c>
      <c r="N93" s="25"/>
      <c r="O93" s="6"/>
      <c r="P93" s="6"/>
      <c r="Q93" s="7"/>
      <c r="R93" s="7">
        <v>13040</v>
      </c>
      <c r="S93" s="7">
        <v>122469.59999999999</v>
      </c>
      <c r="T93" s="23"/>
      <c r="U93" s="7"/>
      <c r="V93" s="7">
        <v>272468.7</v>
      </c>
      <c r="X93" s="9"/>
      <c r="Y93" s="9"/>
      <c r="Z93" s="9">
        <v>244000</v>
      </c>
      <c r="AA93" s="98"/>
      <c r="AB93" s="9"/>
      <c r="AC93" s="9">
        <v>-28468.700000000012</v>
      </c>
      <c r="AE93" s="8">
        <v>116400</v>
      </c>
      <c r="AF93" s="8">
        <v>19000</v>
      </c>
      <c r="AG93" s="8"/>
      <c r="AH93" s="1"/>
      <c r="AI93" s="1"/>
      <c r="AJ93" s="1"/>
    </row>
    <row r="94" spans="1:36" x14ac:dyDescent="0.35">
      <c r="A94" s="2" t="s">
        <v>27</v>
      </c>
      <c r="B94" s="2" t="s">
        <v>372</v>
      </c>
      <c r="D94" s="2" t="s">
        <v>162</v>
      </c>
      <c r="E94" t="s">
        <v>163</v>
      </c>
      <c r="F94" s="4"/>
      <c r="G94" s="101"/>
      <c r="H94" s="5"/>
      <c r="I94" s="5"/>
      <c r="J94" s="5"/>
      <c r="K94" s="6"/>
      <c r="L94" s="6"/>
      <c r="M94" s="6"/>
      <c r="N94" s="25"/>
      <c r="O94" s="6"/>
      <c r="P94" s="6"/>
      <c r="Q94" s="7"/>
      <c r="R94" s="7"/>
      <c r="S94" s="7"/>
      <c r="T94" s="23"/>
      <c r="U94" s="7"/>
      <c r="V94" s="7"/>
      <c r="X94" s="9">
        <v>61000</v>
      </c>
      <c r="Y94" s="9"/>
      <c r="Z94" s="9"/>
      <c r="AA94" s="98">
        <v>61000</v>
      </c>
      <c r="AB94" s="9"/>
      <c r="AC94" s="9"/>
      <c r="AD94" t="s">
        <v>343</v>
      </c>
      <c r="AE94" s="8"/>
      <c r="AF94" s="8"/>
      <c r="AG94" s="8"/>
      <c r="AH94" s="1"/>
      <c r="AI94" s="1"/>
      <c r="AJ94" s="1"/>
    </row>
    <row r="95" spans="1:36" x14ac:dyDescent="0.35">
      <c r="A95" s="2" t="s">
        <v>27</v>
      </c>
      <c r="B95" s="2" t="s">
        <v>372</v>
      </c>
      <c r="D95" s="2" t="s">
        <v>164</v>
      </c>
      <c r="E95" t="s">
        <v>165</v>
      </c>
      <c r="F95" s="4">
        <v>809327.34</v>
      </c>
      <c r="G95" s="101">
        <f t="shared" si="4"/>
        <v>169000</v>
      </c>
      <c r="H95" s="5">
        <v>124000</v>
      </c>
      <c r="I95" s="5">
        <v>45000</v>
      </c>
      <c r="J95" s="5"/>
      <c r="K95" s="6">
        <v>96406.28</v>
      </c>
      <c r="L95" s="6">
        <v>41934</v>
      </c>
      <c r="M95" s="6"/>
      <c r="N95" s="25">
        <v>27593.72</v>
      </c>
      <c r="O95" s="6">
        <v>3066</v>
      </c>
      <c r="P95" s="6"/>
      <c r="Q95" s="7"/>
      <c r="R95" s="7">
        <v>15542</v>
      </c>
      <c r="S95" s="7"/>
      <c r="T95" s="23">
        <v>582851.34</v>
      </c>
      <c r="U95" s="7">
        <v>41934</v>
      </c>
      <c r="V95" s="7"/>
      <c r="X95" s="9">
        <v>610000</v>
      </c>
      <c r="Y95" s="9">
        <v>45000</v>
      </c>
      <c r="Z95" s="9"/>
      <c r="AA95" s="98"/>
      <c r="AB95" s="9"/>
      <c r="AC95" s="9"/>
      <c r="AE95" s="8"/>
      <c r="AF95" s="8">
        <v>15200</v>
      </c>
      <c r="AG95" s="8"/>
      <c r="AH95" s="1"/>
      <c r="AI95" s="1"/>
      <c r="AJ95" s="1"/>
    </row>
    <row r="96" spans="1:36" x14ac:dyDescent="0.35">
      <c r="A96" s="2" t="s">
        <v>27</v>
      </c>
      <c r="B96" s="2" t="s">
        <v>372</v>
      </c>
      <c r="D96" s="2" t="s">
        <v>162</v>
      </c>
      <c r="E96" t="s">
        <v>166</v>
      </c>
      <c r="F96" s="4">
        <v>817478.8</v>
      </c>
      <c r="G96" s="101">
        <f t="shared" si="4"/>
        <v>558000</v>
      </c>
      <c r="H96" s="5">
        <v>558000</v>
      </c>
      <c r="I96" s="5"/>
      <c r="J96" s="5"/>
      <c r="K96" s="6"/>
      <c r="L96" s="6"/>
      <c r="M96" s="6"/>
      <c r="N96" s="25">
        <v>558000</v>
      </c>
      <c r="O96" s="6"/>
      <c r="P96" s="6"/>
      <c r="Q96" s="7">
        <v>15478.8</v>
      </c>
      <c r="R96" s="7"/>
      <c r="S96" s="7"/>
      <c r="T96" s="23">
        <v>244000</v>
      </c>
      <c r="U96" s="7"/>
      <c r="V96" s="7"/>
      <c r="X96" s="9">
        <v>1220000</v>
      </c>
      <c r="Y96" s="9"/>
      <c r="Z96" s="9"/>
      <c r="AA96" s="98">
        <v>427000</v>
      </c>
      <c r="AB96" s="9"/>
      <c r="AC96" s="9"/>
      <c r="AD96" s="1"/>
      <c r="AE96" s="8">
        <v>528000</v>
      </c>
      <c r="AF96" s="8"/>
      <c r="AG96" s="8">
        <v>226800</v>
      </c>
      <c r="AH96" s="1"/>
      <c r="AI96" s="1"/>
      <c r="AJ96" s="1"/>
    </row>
    <row r="97" spans="1:36" x14ac:dyDescent="0.35">
      <c r="A97" s="2" t="s">
        <v>27</v>
      </c>
      <c r="B97" s="2" t="s">
        <v>372</v>
      </c>
      <c r="D97" s="2" t="s">
        <v>167</v>
      </c>
      <c r="E97" t="s">
        <v>168</v>
      </c>
      <c r="F97" s="4">
        <v>800051.98</v>
      </c>
      <c r="G97" s="101">
        <f t="shared" si="4"/>
        <v>417000</v>
      </c>
      <c r="H97" s="5">
        <v>372000</v>
      </c>
      <c r="I97" s="5">
        <v>45000</v>
      </c>
      <c r="J97" s="5"/>
      <c r="K97" s="6">
        <v>153845.56</v>
      </c>
      <c r="L97" s="6">
        <v>42056</v>
      </c>
      <c r="M97" s="6"/>
      <c r="N97" s="25">
        <v>218154.44</v>
      </c>
      <c r="O97" s="6">
        <v>2944</v>
      </c>
      <c r="P97" s="6"/>
      <c r="Q97" s="7">
        <v>7372.7999999999993</v>
      </c>
      <c r="R97" s="7">
        <v>23415</v>
      </c>
      <c r="S97" s="7"/>
      <c r="T97" s="23">
        <v>310208.18</v>
      </c>
      <c r="U97" s="7">
        <v>42056</v>
      </c>
      <c r="V97" s="7"/>
      <c r="X97" s="9">
        <v>524844</v>
      </c>
      <c r="Y97" s="9">
        <v>45000</v>
      </c>
      <c r="Z97" s="9"/>
      <c r="AA97" s="98"/>
      <c r="AB97" s="9"/>
      <c r="AC97" s="9"/>
      <c r="AE97" s="8">
        <v>68199.599999999991</v>
      </c>
      <c r="AF97" s="8">
        <v>15200</v>
      </c>
      <c r="AG97" s="8"/>
      <c r="AH97" s="1"/>
      <c r="AI97" s="1"/>
      <c r="AJ97" s="1"/>
    </row>
    <row r="98" spans="1:36" x14ac:dyDescent="0.35">
      <c r="A98" s="3" t="s">
        <v>27</v>
      </c>
      <c r="B98" s="2" t="s">
        <v>372</v>
      </c>
      <c r="D98" s="2" t="s">
        <v>169</v>
      </c>
      <c r="E98" t="s">
        <v>170</v>
      </c>
      <c r="F98" s="4"/>
      <c r="G98" s="101"/>
      <c r="H98" s="5"/>
      <c r="I98" s="5"/>
      <c r="J98" s="5"/>
      <c r="K98" s="6"/>
      <c r="L98" s="6"/>
      <c r="M98" s="6"/>
      <c r="N98" s="25"/>
      <c r="O98" s="6"/>
      <c r="P98" s="6"/>
      <c r="Q98" s="7"/>
      <c r="R98" s="7"/>
      <c r="S98" s="7"/>
      <c r="T98" s="23"/>
      <c r="U98" s="7"/>
      <c r="V98" s="7"/>
      <c r="X98" s="9">
        <v>238876</v>
      </c>
      <c r="Y98" s="9"/>
      <c r="Z98" s="9"/>
      <c r="AA98" s="98">
        <v>238876</v>
      </c>
      <c r="AB98" s="9"/>
      <c r="AC98" s="9"/>
      <c r="AD98" t="s">
        <v>343</v>
      </c>
      <c r="AE98" s="8">
        <v>42000</v>
      </c>
      <c r="AF98" s="8"/>
      <c r="AG98" s="8"/>
      <c r="AH98" s="1"/>
      <c r="AI98" s="1"/>
      <c r="AJ98" s="1"/>
    </row>
    <row r="99" spans="1:36" x14ac:dyDescent="0.35">
      <c r="A99" s="2" t="s">
        <v>171</v>
      </c>
      <c r="B99" s="2" t="s">
        <v>172</v>
      </c>
      <c r="D99" s="2" t="s">
        <v>173</v>
      </c>
      <c r="E99" t="s">
        <v>174</v>
      </c>
      <c r="F99" s="4">
        <v>628469.06000000006</v>
      </c>
      <c r="G99" s="101">
        <f t="shared" si="4"/>
        <v>540011.52000000002</v>
      </c>
      <c r="H99" s="5"/>
      <c r="I99" s="5">
        <v>332500</v>
      </c>
      <c r="J99" s="5">
        <v>207511.52</v>
      </c>
      <c r="K99" s="6"/>
      <c r="L99" s="6">
        <v>332500</v>
      </c>
      <c r="M99" s="6">
        <v>21080</v>
      </c>
      <c r="N99" s="25">
        <v>0</v>
      </c>
      <c r="O99" s="6"/>
      <c r="P99" s="6">
        <v>186431.52</v>
      </c>
      <c r="Q99" s="7"/>
      <c r="R99" s="7"/>
      <c r="S99" s="7">
        <v>8694</v>
      </c>
      <c r="T99" s="23"/>
      <c r="U99" s="7">
        <v>76827</v>
      </c>
      <c r="V99" s="7">
        <v>2936.54</v>
      </c>
      <c r="X99" s="9">
        <v>73200</v>
      </c>
      <c r="Y99" s="9">
        <v>212500</v>
      </c>
      <c r="Z99" s="9">
        <v>186361.1</v>
      </c>
      <c r="AA99" s="98">
        <v>73200</v>
      </c>
      <c r="AB99" s="9">
        <v>135673</v>
      </c>
      <c r="AC99" s="9"/>
      <c r="AE99" s="8">
        <v>72000</v>
      </c>
      <c r="AF99" s="8">
        <v>62500</v>
      </c>
      <c r="AG99" s="8">
        <v>192000</v>
      </c>
      <c r="AH99" s="1"/>
      <c r="AI99" s="1"/>
      <c r="AJ99" s="1"/>
    </row>
    <row r="100" spans="1:36" x14ac:dyDescent="0.35">
      <c r="A100" s="2" t="s">
        <v>171</v>
      </c>
      <c r="B100" s="2" t="s">
        <v>172</v>
      </c>
      <c r="D100" s="2" t="s">
        <v>175</v>
      </c>
      <c r="E100" t="s">
        <v>176</v>
      </c>
      <c r="F100" s="4">
        <v>372000</v>
      </c>
      <c r="G100" s="101">
        <f t="shared" si="4"/>
        <v>372000</v>
      </c>
      <c r="H100" s="5"/>
      <c r="I100" s="5">
        <v>310000</v>
      </c>
      <c r="J100" s="5">
        <v>62000</v>
      </c>
      <c r="K100" s="6"/>
      <c r="L100" s="6">
        <v>310000</v>
      </c>
      <c r="M100" s="6">
        <v>62000</v>
      </c>
      <c r="N100" s="25"/>
      <c r="O100" s="6"/>
      <c r="P100" s="6"/>
      <c r="Q100" s="7"/>
      <c r="R100" s="7"/>
      <c r="S100" s="7"/>
      <c r="T100" s="23"/>
      <c r="U100" s="7"/>
      <c r="V100" s="7"/>
      <c r="X100" s="9"/>
      <c r="Y100" s="9"/>
      <c r="Z100" s="9"/>
      <c r="AA100" s="98"/>
      <c r="AB100" s="9"/>
      <c r="AC100" s="9"/>
      <c r="AE100" s="8"/>
      <c r="AF100" s="8"/>
      <c r="AG100" s="8"/>
      <c r="AH100" s="1"/>
      <c r="AI100" s="1"/>
      <c r="AJ100" s="1"/>
    </row>
    <row r="101" spans="1:36" x14ac:dyDescent="0.35">
      <c r="A101" s="2" t="s">
        <v>171</v>
      </c>
      <c r="B101" s="2" t="s">
        <v>172</v>
      </c>
      <c r="D101" s="2" t="s">
        <v>177</v>
      </c>
      <c r="E101" t="s">
        <v>178</v>
      </c>
      <c r="F101" s="4">
        <v>258171.19999999998</v>
      </c>
      <c r="G101" s="101">
        <f t="shared" si="4"/>
        <v>201184.4</v>
      </c>
      <c r="H101" s="5"/>
      <c r="I101" s="5">
        <v>145000</v>
      </c>
      <c r="J101" s="5">
        <v>56184.4</v>
      </c>
      <c r="K101" s="6"/>
      <c r="L101" s="6">
        <v>145000</v>
      </c>
      <c r="M101" s="6">
        <v>9920</v>
      </c>
      <c r="N101" s="25"/>
      <c r="O101" s="6"/>
      <c r="P101" s="6">
        <v>46264.4</v>
      </c>
      <c r="Q101" s="7"/>
      <c r="R101" s="7"/>
      <c r="S101" s="7"/>
      <c r="T101" s="23"/>
      <c r="U101" s="7">
        <v>53705</v>
      </c>
      <c r="V101" s="7">
        <v>3281.7999999999997</v>
      </c>
      <c r="X101" s="9"/>
      <c r="Y101" s="9">
        <v>100000</v>
      </c>
      <c r="Z101" s="9">
        <v>48800</v>
      </c>
      <c r="AA101" s="98"/>
      <c r="AB101" s="9">
        <v>46295</v>
      </c>
      <c r="AC101" s="9"/>
      <c r="AE101" s="8"/>
      <c r="AF101" s="8"/>
      <c r="AG101" s="8"/>
      <c r="AH101" s="1"/>
      <c r="AI101" s="1"/>
      <c r="AJ101" s="1"/>
    </row>
    <row r="102" spans="1:36" x14ac:dyDescent="0.35">
      <c r="A102" s="2" t="s">
        <v>171</v>
      </c>
      <c r="B102" s="2" t="s">
        <v>172</v>
      </c>
      <c r="D102" s="2" t="s">
        <v>179</v>
      </c>
      <c r="E102" t="s">
        <v>180</v>
      </c>
      <c r="F102" s="4">
        <v>332165.94</v>
      </c>
      <c r="G102" s="101">
        <f t="shared" si="4"/>
        <v>262000</v>
      </c>
      <c r="H102" s="5"/>
      <c r="I102" s="5">
        <v>200000</v>
      </c>
      <c r="J102" s="5">
        <v>62000</v>
      </c>
      <c r="K102" s="6"/>
      <c r="L102" s="6">
        <v>200000</v>
      </c>
      <c r="M102" s="6">
        <v>38473.480000000003</v>
      </c>
      <c r="N102" s="25"/>
      <c r="O102" s="6"/>
      <c r="P102" s="6">
        <v>23526.52</v>
      </c>
      <c r="Q102" s="7"/>
      <c r="R102" s="7">
        <v>15865</v>
      </c>
      <c r="S102" s="7"/>
      <c r="T102" s="23"/>
      <c r="U102" s="7">
        <v>53048</v>
      </c>
      <c r="V102" s="7">
        <v>1252.94</v>
      </c>
      <c r="X102" s="9"/>
      <c r="Y102" s="9">
        <v>121635</v>
      </c>
      <c r="Z102" s="9">
        <v>24400</v>
      </c>
      <c r="AA102" s="98"/>
      <c r="AB102" s="9">
        <v>68587</v>
      </c>
      <c r="AC102" s="9"/>
      <c r="AE102" s="8"/>
      <c r="AF102" s="8">
        <v>37500</v>
      </c>
      <c r="AG102" s="8">
        <v>24000</v>
      </c>
      <c r="AH102" s="1"/>
      <c r="AI102" s="1"/>
      <c r="AJ102" s="1"/>
    </row>
    <row r="103" spans="1:36" x14ac:dyDescent="0.35">
      <c r="A103" s="2" t="s">
        <v>171</v>
      </c>
      <c r="B103" s="2" t="s">
        <v>172</v>
      </c>
      <c r="D103" s="2" t="s">
        <v>181</v>
      </c>
      <c r="E103" t="s">
        <v>182</v>
      </c>
      <c r="F103" s="4">
        <v>347439.68000000005</v>
      </c>
      <c r="G103" s="101">
        <f t="shared" si="4"/>
        <v>172560.16</v>
      </c>
      <c r="H103" s="5"/>
      <c r="I103" s="5">
        <v>150198</v>
      </c>
      <c r="J103" s="5">
        <v>22362.16</v>
      </c>
      <c r="K103" s="6"/>
      <c r="L103" s="6">
        <v>150198</v>
      </c>
      <c r="M103" s="6">
        <v>21080</v>
      </c>
      <c r="N103" s="25"/>
      <c r="O103" s="6"/>
      <c r="P103" s="6">
        <v>1282.1600000000001</v>
      </c>
      <c r="Q103" s="7"/>
      <c r="R103" s="7">
        <v>62302</v>
      </c>
      <c r="S103" s="7"/>
      <c r="T103" s="23"/>
      <c r="U103" s="7">
        <v>101639</v>
      </c>
      <c r="V103" s="7">
        <v>10938.52</v>
      </c>
      <c r="X103" s="9"/>
      <c r="Y103" s="9">
        <v>150198</v>
      </c>
      <c r="Z103" s="9">
        <v>12200</v>
      </c>
      <c r="AA103" s="98"/>
      <c r="AB103" s="9">
        <v>48559</v>
      </c>
      <c r="AC103" s="9"/>
      <c r="AE103" s="8"/>
      <c r="AF103" s="8">
        <v>62500</v>
      </c>
      <c r="AG103" s="8"/>
      <c r="AH103" s="1"/>
      <c r="AI103" s="1"/>
      <c r="AJ103" s="1"/>
    </row>
    <row r="104" spans="1:36" x14ac:dyDescent="0.35">
      <c r="A104" s="2" t="s">
        <v>171</v>
      </c>
      <c r="B104" s="2" t="s">
        <v>172</v>
      </c>
      <c r="D104" s="2" t="s">
        <v>183</v>
      </c>
      <c r="E104" t="s">
        <v>184</v>
      </c>
      <c r="F104" s="4">
        <v>113320</v>
      </c>
      <c r="G104" s="101">
        <f t="shared" si="4"/>
        <v>113320</v>
      </c>
      <c r="H104" s="5"/>
      <c r="I104" s="5">
        <v>91000</v>
      </c>
      <c r="J104" s="5">
        <v>22320</v>
      </c>
      <c r="K104" s="6"/>
      <c r="L104" s="6">
        <v>91000</v>
      </c>
      <c r="M104" s="6">
        <v>22320</v>
      </c>
      <c r="N104" s="25"/>
      <c r="O104" s="6"/>
      <c r="P104" s="6"/>
      <c r="Q104" s="7"/>
      <c r="R104" s="7"/>
      <c r="S104" s="7"/>
      <c r="T104" s="23"/>
      <c r="U104" s="7"/>
      <c r="V104" s="7"/>
      <c r="X104" s="9"/>
      <c r="Y104" s="9"/>
      <c r="Z104" s="9"/>
      <c r="AA104" s="98"/>
      <c r="AB104" s="9"/>
      <c r="AC104" s="9"/>
      <c r="AE104" s="8"/>
      <c r="AF104" s="8"/>
      <c r="AG104" s="8"/>
      <c r="AH104" s="1"/>
      <c r="AI104" s="1"/>
      <c r="AJ104" s="1"/>
    </row>
    <row r="105" spans="1:36" x14ac:dyDescent="0.35">
      <c r="A105" s="2" t="s">
        <v>171</v>
      </c>
      <c r="B105" s="2" t="s">
        <v>172</v>
      </c>
      <c r="D105" s="2" t="s">
        <v>185</v>
      </c>
      <c r="E105" t="s">
        <v>186</v>
      </c>
      <c r="F105" s="4">
        <v>75440</v>
      </c>
      <c r="G105" s="101">
        <f t="shared" si="4"/>
        <v>75440</v>
      </c>
      <c r="H105" s="5"/>
      <c r="I105" s="5">
        <v>52500</v>
      </c>
      <c r="J105" s="5">
        <v>22940</v>
      </c>
      <c r="K105" s="6"/>
      <c r="L105" s="6">
        <v>52500</v>
      </c>
      <c r="M105" s="6">
        <v>22940</v>
      </c>
      <c r="N105" s="25"/>
      <c r="O105" s="6"/>
      <c r="P105" s="6"/>
      <c r="Q105" s="7"/>
      <c r="R105" s="7"/>
      <c r="S105" s="7"/>
      <c r="T105" s="23"/>
      <c r="U105" s="7"/>
      <c r="V105" s="7"/>
      <c r="X105" s="9"/>
      <c r="Y105" s="9"/>
      <c r="Z105" s="9"/>
      <c r="AA105" s="98"/>
      <c r="AB105" s="9"/>
      <c r="AC105" s="9"/>
      <c r="AE105" s="8"/>
      <c r="AF105" s="8"/>
      <c r="AG105" s="8"/>
      <c r="AH105" s="1"/>
      <c r="AI105" s="1"/>
      <c r="AJ105" s="1"/>
    </row>
    <row r="106" spans="1:36" x14ac:dyDescent="0.35">
      <c r="A106" s="2" t="s">
        <v>171</v>
      </c>
      <c r="B106" s="2" t="s">
        <v>187</v>
      </c>
      <c r="D106" s="2" t="s">
        <v>188</v>
      </c>
      <c r="E106" t="s">
        <v>189</v>
      </c>
      <c r="F106" s="4">
        <v>662526</v>
      </c>
      <c r="G106" s="101">
        <f t="shared" si="4"/>
        <v>312246.03999999998</v>
      </c>
      <c r="H106" s="5"/>
      <c r="I106" s="5">
        <v>202604</v>
      </c>
      <c r="J106" s="5">
        <v>109642.04</v>
      </c>
      <c r="K106" s="6"/>
      <c r="L106" s="6">
        <v>202604</v>
      </c>
      <c r="M106" s="6">
        <v>30380</v>
      </c>
      <c r="N106" s="25"/>
      <c r="O106" s="6"/>
      <c r="P106" s="6">
        <v>79262.039999999994</v>
      </c>
      <c r="Q106" s="7"/>
      <c r="R106" s="7">
        <v>23396</v>
      </c>
      <c r="S106" s="7">
        <v>14185.199999999999</v>
      </c>
      <c r="T106" s="23"/>
      <c r="U106" s="7">
        <f>39254-150</f>
        <v>39104</v>
      </c>
      <c r="V106" s="7">
        <v>273594.76</v>
      </c>
      <c r="X106" s="9"/>
      <c r="Y106" s="9">
        <v>39104</v>
      </c>
      <c r="Z106" s="9">
        <v>351578.38</v>
      </c>
      <c r="AA106" s="98"/>
      <c r="AB106" s="9"/>
      <c r="AC106" s="9"/>
      <c r="AE106" s="8"/>
      <c r="AF106" s="8">
        <v>62500</v>
      </c>
      <c r="AG106" s="8">
        <v>360000</v>
      </c>
      <c r="AH106" s="1"/>
      <c r="AI106" s="1"/>
      <c r="AJ106" s="1"/>
    </row>
    <row r="107" spans="1:36" x14ac:dyDescent="0.35">
      <c r="A107" s="2" t="s">
        <v>171</v>
      </c>
      <c r="B107" s="2" t="s">
        <v>187</v>
      </c>
      <c r="D107" s="2" t="s">
        <v>190</v>
      </c>
      <c r="E107" t="s">
        <v>191</v>
      </c>
      <c r="F107" s="4">
        <v>303791.68000000005</v>
      </c>
      <c r="G107" s="101">
        <f t="shared" si="4"/>
        <v>220280.08000000002</v>
      </c>
      <c r="H107" s="5"/>
      <c r="I107" s="5">
        <v>124655</v>
      </c>
      <c r="J107" s="5">
        <v>95625.08</v>
      </c>
      <c r="K107" s="6"/>
      <c r="L107" s="6">
        <v>124655</v>
      </c>
      <c r="M107" s="6"/>
      <c r="N107" s="25"/>
      <c r="O107" s="6"/>
      <c r="P107" s="6">
        <v>95625.08</v>
      </c>
      <c r="Q107" s="7"/>
      <c r="R107" s="7">
        <v>12845</v>
      </c>
      <c r="S107" s="7">
        <v>13059.6</v>
      </c>
      <c r="T107" s="23"/>
      <c r="U107" s="7">
        <v>57607</v>
      </c>
      <c r="V107" s="7"/>
      <c r="X107" s="9"/>
      <c r="Y107" s="9">
        <v>124655</v>
      </c>
      <c r="Z107" s="9">
        <v>94082.739999999991</v>
      </c>
      <c r="AA107" s="98"/>
      <c r="AB107" s="9">
        <v>67048</v>
      </c>
      <c r="AC107" s="9"/>
      <c r="AE107" s="8"/>
      <c r="AF107" s="8">
        <v>62500</v>
      </c>
      <c r="AG107" s="8">
        <v>105600</v>
      </c>
      <c r="AH107" s="1"/>
      <c r="AI107" s="1"/>
      <c r="AJ107" s="1"/>
    </row>
    <row r="108" spans="1:36" x14ac:dyDescent="0.35">
      <c r="A108" s="2" t="s">
        <v>171</v>
      </c>
      <c r="B108" s="2" t="s">
        <v>192</v>
      </c>
      <c r="D108" s="2" t="s">
        <v>355</v>
      </c>
      <c r="E108" t="s">
        <v>193</v>
      </c>
      <c r="F108" s="4">
        <v>144786.01999999999</v>
      </c>
      <c r="G108" s="101">
        <f t="shared" si="4"/>
        <v>136308.24</v>
      </c>
      <c r="H108" s="5"/>
      <c r="I108" s="5"/>
      <c r="J108" s="5">
        <v>136308.24</v>
      </c>
      <c r="K108" s="6"/>
      <c r="L108" s="6"/>
      <c r="M108" s="6"/>
      <c r="N108" s="25"/>
      <c r="O108" s="6"/>
      <c r="P108" s="6">
        <v>136308.24</v>
      </c>
      <c r="Q108" s="7"/>
      <c r="R108" s="7"/>
      <c r="S108" s="7"/>
      <c r="T108" s="23"/>
      <c r="U108" s="7"/>
      <c r="V108" s="7">
        <v>8477.7800000000007</v>
      </c>
      <c r="X108" s="9"/>
      <c r="Y108" s="9"/>
      <c r="Z108" s="9">
        <v>142587.5</v>
      </c>
      <c r="AA108" s="98"/>
      <c r="AB108" s="9"/>
      <c r="AC108" s="9"/>
      <c r="AE108" s="8"/>
      <c r="AF108" s="8"/>
      <c r="AG108" s="8">
        <v>140250</v>
      </c>
      <c r="AH108" s="1"/>
      <c r="AI108" s="1"/>
      <c r="AJ108" s="1"/>
    </row>
    <row r="109" spans="1:36" x14ac:dyDescent="0.35">
      <c r="A109" s="2" t="s">
        <v>171</v>
      </c>
      <c r="B109" s="2" t="s">
        <v>192</v>
      </c>
      <c r="D109" s="2" t="s">
        <v>356</v>
      </c>
      <c r="E109" t="s">
        <v>194</v>
      </c>
      <c r="F109" s="4">
        <v>554280</v>
      </c>
      <c r="G109" s="101">
        <f t="shared" si="4"/>
        <v>554280</v>
      </c>
      <c r="H109" s="5">
        <v>554280</v>
      </c>
      <c r="I109" s="5"/>
      <c r="J109" s="5"/>
      <c r="K109" s="6"/>
      <c r="L109" s="6"/>
      <c r="M109" s="6"/>
      <c r="N109" s="25">
        <v>554280</v>
      </c>
      <c r="O109" s="6"/>
      <c r="P109" s="6"/>
      <c r="Q109" s="7"/>
      <c r="R109" s="7"/>
      <c r="S109" s="7"/>
      <c r="T109" s="23"/>
      <c r="U109" s="7"/>
      <c r="V109" s="7"/>
      <c r="X109" s="9">
        <v>545340</v>
      </c>
      <c r="Y109" s="9"/>
      <c r="Z109" s="9"/>
      <c r="AA109" s="98"/>
      <c r="AB109" s="9"/>
      <c r="AC109" s="9"/>
      <c r="AE109" s="8">
        <v>536400</v>
      </c>
      <c r="AF109" s="8"/>
      <c r="AG109" s="8"/>
      <c r="AH109" s="1"/>
      <c r="AI109" s="1"/>
      <c r="AJ109" s="1"/>
    </row>
    <row r="110" spans="1:36" x14ac:dyDescent="0.35">
      <c r="A110" s="2" t="s">
        <v>171</v>
      </c>
      <c r="B110" s="2" t="s">
        <v>192</v>
      </c>
      <c r="D110" s="2" t="s">
        <v>357</v>
      </c>
      <c r="E110" t="s">
        <v>195</v>
      </c>
      <c r="F110" s="4">
        <f>U110+I110</f>
        <v>620792</v>
      </c>
      <c r="G110" s="101">
        <f t="shared" si="4"/>
        <v>464200</v>
      </c>
      <c r="H110" s="5"/>
      <c r="I110" s="5">
        <v>464200</v>
      </c>
      <c r="J110" s="5"/>
      <c r="K110" s="6"/>
      <c r="L110" s="6">
        <v>464200</v>
      </c>
      <c r="M110" s="6"/>
      <c r="N110" s="25"/>
      <c r="O110" s="6"/>
      <c r="P110" s="6"/>
      <c r="Q110" s="7"/>
      <c r="R110" s="7"/>
      <c r="S110" s="7"/>
      <c r="T110" s="23"/>
      <c r="U110" s="7">
        <v>156592</v>
      </c>
      <c r="V110" s="7"/>
      <c r="X110" s="9"/>
      <c r="Y110" s="9">
        <v>464200</v>
      </c>
      <c r="Z110" s="9"/>
      <c r="AA110" s="98"/>
      <c r="AB110" s="9">
        <v>307608</v>
      </c>
      <c r="AC110" s="9"/>
      <c r="AE110" s="8"/>
      <c r="AF110" s="8">
        <v>464200</v>
      </c>
      <c r="AG110" s="8"/>
      <c r="AH110" s="1"/>
      <c r="AI110" s="1"/>
      <c r="AJ110" s="1"/>
    </row>
    <row r="111" spans="1:36" ht="15" thickBot="1" x14ac:dyDescent="0.4">
      <c r="A111" s="19"/>
      <c r="B111" s="19"/>
      <c r="C111" s="19"/>
      <c r="D111" s="19"/>
      <c r="E111" s="19"/>
      <c r="F111" s="20">
        <f>SUM(F4:F110)</f>
        <v>27849264.415999994</v>
      </c>
      <c r="G111" s="102">
        <f t="shared" si="4"/>
        <v>20293679.560000002</v>
      </c>
      <c r="H111" s="93">
        <f t="shared" ref="H111:Z111" si="5">SUM(H4:H110)</f>
        <v>10986239.660000002</v>
      </c>
      <c r="I111" s="93">
        <f t="shared" si="5"/>
        <v>3955463</v>
      </c>
      <c r="J111" s="93">
        <f t="shared" si="5"/>
        <v>5351976.9000000004</v>
      </c>
      <c r="K111" s="94">
        <f t="shared" si="5"/>
        <v>6309959.0999999996</v>
      </c>
      <c r="L111" s="94">
        <f t="shared" si="5"/>
        <v>3895305</v>
      </c>
      <c r="M111" s="94">
        <f t="shared" si="5"/>
        <v>2554087.3199999998</v>
      </c>
      <c r="N111" s="95">
        <f t="shared" si="5"/>
        <v>4676280.5600000005</v>
      </c>
      <c r="O111" s="94">
        <f t="shared" si="5"/>
        <v>60158</v>
      </c>
      <c r="P111" s="94">
        <f t="shared" si="5"/>
        <v>2797889.58</v>
      </c>
      <c r="Q111" s="26">
        <f t="shared" si="5"/>
        <v>447337.41999999993</v>
      </c>
      <c r="R111" s="26">
        <f t="shared" si="5"/>
        <v>166405</v>
      </c>
      <c r="S111" s="26">
        <f t="shared" si="5"/>
        <v>715475.4439999999</v>
      </c>
      <c r="T111" s="27">
        <f t="shared" si="5"/>
        <v>3852334.5249999999</v>
      </c>
      <c r="U111" s="26">
        <f t="shared" si="5"/>
        <v>1004861.36</v>
      </c>
      <c r="V111" s="26">
        <f t="shared" si="5"/>
        <v>1906884.827</v>
      </c>
      <c r="X111" s="29">
        <f t="shared" si="5"/>
        <v>11304133.260000002</v>
      </c>
      <c r="Y111" s="29">
        <f t="shared" si="5"/>
        <v>1989225</v>
      </c>
      <c r="Z111" s="29">
        <f t="shared" si="5"/>
        <v>4078513.6799999997</v>
      </c>
      <c r="AA111" s="99">
        <f>SUM(AA4:AA110)</f>
        <v>2848946.84</v>
      </c>
      <c r="AB111" s="29">
        <f t="shared" ref="AB111:AC111" si="6">SUM(AB4:AB110)</f>
        <v>927978</v>
      </c>
      <c r="AC111" s="29">
        <f t="shared" si="6"/>
        <v>-579137.95570967742</v>
      </c>
      <c r="AE111" s="28">
        <f>SUM(AE4:AE110)</f>
        <v>3846280.8000000003</v>
      </c>
      <c r="AF111" s="28">
        <f>SUM(AF4:AF110)</f>
        <v>1004929</v>
      </c>
      <c r="AG111" s="28">
        <f>SUM(AG4:AG110)</f>
        <v>2707327.6439999999</v>
      </c>
    </row>
    <row r="112" spans="1:36" ht="15.5" thickTop="1" thickBot="1" x14ac:dyDescent="0.4">
      <c r="H112" s="131">
        <f>H111+I111+J111</f>
        <v>20293679.560000002</v>
      </c>
      <c r="I112" s="131"/>
      <c r="J112" s="131"/>
      <c r="K112" s="132">
        <f>K111+L111+M111</f>
        <v>12759351.42</v>
      </c>
      <c r="L112" s="132"/>
      <c r="M112" s="133"/>
      <c r="N112" s="134">
        <f>N111+O111+P111</f>
        <v>7534328.1400000006</v>
      </c>
      <c r="O112" s="132"/>
      <c r="P112" s="132"/>
      <c r="Q112" s="135">
        <f>Q111+R111+S111</f>
        <v>1329217.8639999998</v>
      </c>
      <c r="R112" s="135"/>
      <c r="S112" s="136"/>
      <c r="T112" s="137">
        <f>T111+U111+V111</f>
        <v>6764080.7119999994</v>
      </c>
      <c r="U112" s="135"/>
      <c r="V112" s="135"/>
      <c r="X112" s="141">
        <f>X111+Y111+Z111</f>
        <v>17371871.940000001</v>
      </c>
      <c r="Y112" s="141"/>
      <c r="Z112" s="141"/>
      <c r="AA112" s="145">
        <f>AA111+AB111+AC111</f>
        <v>3197786.8842903227</v>
      </c>
      <c r="AB112" s="141"/>
      <c r="AC112" s="141"/>
      <c r="AE112" s="142">
        <f>AE111+AF111+AG111</f>
        <v>7558537.4440000001</v>
      </c>
      <c r="AF112" s="142"/>
      <c r="AG112" s="142"/>
    </row>
    <row r="113" spans="4:35" ht="15" thickTop="1" x14ac:dyDescent="0.35">
      <c r="D113" t="s">
        <v>318</v>
      </c>
      <c r="E113" t="s">
        <v>364</v>
      </c>
      <c r="X113" s="138"/>
      <c r="Y113" s="138"/>
      <c r="Z113" s="138"/>
    </row>
    <row r="114" spans="4:35" x14ac:dyDescent="0.35">
      <c r="D114" s="2" t="s">
        <v>320</v>
      </c>
      <c r="E114" t="s">
        <v>383</v>
      </c>
      <c r="F114" s="1"/>
      <c r="G114" s="1"/>
    </row>
    <row r="115" spans="4:35" x14ac:dyDescent="0.35">
      <c r="D115" s="2" t="s">
        <v>316</v>
      </c>
      <c r="E115" t="s">
        <v>384</v>
      </c>
    </row>
    <row r="116" spans="4:35" x14ac:dyDescent="0.35">
      <c r="D116" t="s">
        <v>319</v>
      </c>
      <c r="E116" t="s">
        <v>380</v>
      </c>
    </row>
    <row r="117" spans="4:35" x14ac:dyDescent="0.35">
      <c r="D117" t="s">
        <v>353</v>
      </c>
      <c r="E117" t="s">
        <v>363</v>
      </c>
    </row>
    <row r="118" spans="4:35" x14ac:dyDescent="0.35">
      <c r="D118" t="s">
        <v>352</v>
      </c>
      <c r="E118" t="s">
        <v>360</v>
      </c>
    </row>
    <row r="119" spans="4:35" x14ac:dyDescent="0.35">
      <c r="D119" t="s">
        <v>358</v>
      </c>
      <c r="E119" t="s">
        <v>361</v>
      </c>
    </row>
    <row r="120" spans="4:35" x14ac:dyDescent="0.35">
      <c r="D120" t="s">
        <v>359</v>
      </c>
      <c r="E120" t="s">
        <v>362</v>
      </c>
    </row>
    <row r="121" spans="4:35" x14ac:dyDescent="0.35">
      <c r="D121" t="s">
        <v>366</v>
      </c>
      <c r="E121" t="s">
        <v>369</v>
      </c>
      <c r="AG121" s="1"/>
    </row>
    <row r="122" spans="4:35" x14ac:dyDescent="0.35">
      <c r="D122" t="s">
        <v>370</v>
      </c>
      <c r="E122" t="s">
        <v>371</v>
      </c>
      <c r="Z122" s="1"/>
      <c r="AG122" s="1"/>
      <c r="AI122" s="1"/>
    </row>
    <row r="123" spans="4:35" x14ac:dyDescent="0.35">
      <c r="D123" t="s">
        <v>373</v>
      </c>
      <c r="E123" t="s">
        <v>374</v>
      </c>
      <c r="N123" s="1"/>
    </row>
    <row r="126" spans="4:35" x14ac:dyDescent="0.35">
      <c r="Y126" s="1"/>
    </row>
  </sheetData>
  <autoFilter ref="A1:V123" xr:uid="{65A054AE-17C7-437B-AC0F-89785D379793}">
    <filterColumn colId="7" showButton="0"/>
    <filterColumn colId="8" showButton="0"/>
    <filterColumn colId="10" showButton="0"/>
    <filterColumn colId="11" showButton="0"/>
    <filterColumn colId="13" showButton="0"/>
    <filterColumn colId="14" showButton="0"/>
    <filterColumn colId="16" showButton="0"/>
    <filterColumn colId="17" showButton="0"/>
    <filterColumn colId="19" showButton="0"/>
    <filterColumn colId="20" showButton="0"/>
  </autoFilter>
  <mergeCells count="20">
    <mergeCell ref="AE112:AG112"/>
    <mergeCell ref="AA1:AC1"/>
    <mergeCell ref="AA112:AC112"/>
    <mergeCell ref="AE1:AG1"/>
    <mergeCell ref="X1:Z1"/>
    <mergeCell ref="Q1:S1"/>
    <mergeCell ref="T1:V1"/>
    <mergeCell ref="Q2:V2"/>
    <mergeCell ref="AA2:AC2"/>
    <mergeCell ref="X113:Z113"/>
    <mergeCell ref="T112:V112"/>
    <mergeCell ref="Q112:S112"/>
    <mergeCell ref="X112:Z112"/>
    <mergeCell ref="H1:J1"/>
    <mergeCell ref="N1:P1"/>
    <mergeCell ref="K1:M1"/>
    <mergeCell ref="N112:P112"/>
    <mergeCell ref="K112:M112"/>
    <mergeCell ref="H112:J112"/>
    <mergeCell ref="N2:P2"/>
  </mergeCells>
  <pageMargins left="0.7" right="0.7" top="0.75" bottom="0.75" header="0.3" footer="0.3"/>
  <ignoredErrors>
    <ignoredError sqref="X111:Z111 K111:V111" formulaRange="1"/>
    <ignoredError sqref="G111 G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3900-4E45-4357-A65F-BBAB4177EB94}">
  <dimension ref="A1:U104"/>
  <sheetViews>
    <sheetView topLeftCell="A31" workbookViewId="0">
      <selection activeCell="C3" sqref="C3"/>
    </sheetView>
  </sheetViews>
  <sheetFormatPr defaultRowHeight="14.5" x14ac:dyDescent="0.35"/>
  <cols>
    <col min="1" max="1" width="6.54296875" customWidth="1"/>
    <col min="2" max="2" width="9.453125" bestFit="1" customWidth="1"/>
    <col min="3" max="3" width="26" style="32" customWidth="1"/>
    <col min="4" max="4" width="40.7265625" style="32" customWidth="1"/>
    <col min="5" max="5" width="11.7265625" style="76" customWidth="1"/>
    <col min="6" max="6" width="11.453125" style="77" bestFit="1" customWidth="1"/>
    <col min="7" max="7" width="13.453125" style="77" bestFit="1" customWidth="1"/>
    <col min="8" max="9" width="12.453125" style="77" bestFit="1" customWidth="1"/>
    <col min="10" max="10" width="11.453125" style="76" bestFit="1" customWidth="1"/>
    <col min="11" max="11" width="12" style="77" bestFit="1" customWidth="1"/>
    <col min="12" max="12" width="11.54296875" style="77" bestFit="1" customWidth="1"/>
    <col min="13" max="13" width="11.453125" style="76" bestFit="1" customWidth="1"/>
    <col min="14" max="14" width="12" style="77" bestFit="1" customWidth="1"/>
    <col min="15" max="15" width="11.54296875" style="77" bestFit="1" customWidth="1"/>
    <col min="16" max="16" width="11.453125" style="77" bestFit="1" customWidth="1"/>
    <col min="17" max="17" width="12" style="77" bestFit="1" customWidth="1"/>
    <col min="18" max="18" width="11.54296875" style="77" bestFit="1" customWidth="1"/>
    <col min="19" max="19" width="12.7265625" style="76" bestFit="1" customWidth="1"/>
    <col min="20" max="20" width="12" style="77" bestFit="1" customWidth="1"/>
    <col min="21" max="21" width="11.54296875" style="77" bestFit="1" customWidth="1"/>
    <col min="22" max="22" width="13.1796875" customWidth="1"/>
  </cols>
  <sheetData>
    <row r="1" spans="1:21" x14ac:dyDescent="0.35">
      <c r="A1" t="s">
        <v>206</v>
      </c>
      <c r="E1"/>
      <c r="F1"/>
      <c r="G1"/>
      <c r="H1"/>
      <c r="I1"/>
      <c r="J1"/>
      <c r="K1"/>
      <c r="L1"/>
      <c r="M1"/>
      <c r="N1"/>
      <c r="O1"/>
      <c r="P1"/>
      <c r="Q1"/>
      <c r="R1"/>
      <c r="S1"/>
      <c r="T1"/>
      <c r="U1"/>
    </row>
    <row r="2" spans="1:21" ht="48" customHeight="1" x14ac:dyDescent="0.35">
      <c r="A2" s="33"/>
      <c r="B2" s="34"/>
      <c r="C2" s="35"/>
      <c r="D2" s="36"/>
      <c r="E2" s="152" t="s">
        <v>207</v>
      </c>
      <c r="F2" s="153"/>
      <c r="G2" s="153"/>
      <c r="H2" s="153"/>
      <c r="I2" s="154"/>
      <c r="J2" s="152" t="s">
        <v>208</v>
      </c>
      <c r="K2" s="153"/>
      <c r="L2" s="154"/>
      <c r="M2" s="155" t="s">
        <v>209</v>
      </c>
      <c r="N2" s="156"/>
      <c r="O2" s="157"/>
      <c r="P2" s="155" t="s">
        <v>210</v>
      </c>
      <c r="Q2" s="156"/>
      <c r="R2" s="157"/>
      <c r="S2" s="155" t="s">
        <v>211</v>
      </c>
      <c r="T2" s="156"/>
      <c r="U2" s="157"/>
    </row>
    <row r="3" spans="1:21" ht="44" thickBot="1" x14ac:dyDescent="0.4">
      <c r="A3" s="2" t="s">
        <v>212</v>
      </c>
      <c r="B3" s="2" t="s">
        <v>213</v>
      </c>
      <c r="C3" s="37" t="s">
        <v>214</v>
      </c>
      <c r="D3" s="37" t="s">
        <v>2</v>
      </c>
      <c r="E3" s="38" t="s">
        <v>215</v>
      </c>
      <c r="F3" s="39" t="s">
        <v>216</v>
      </c>
      <c r="G3" s="40" t="s">
        <v>217</v>
      </c>
      <c r="H3" s="40" t="s">
        <v>218</v>
      </c>
      <c r="I3" s="39" t="s">
        <v>219</v>
      </c>
      <c r="J3" s="41" t="s">
        <v>220</v>
      </c>
      <c r="K3" s="42" t="s">
        <v>221</v>
      </c>
      <c r="L3" s="42" t="s">
        <v>222</v>
      </c>
      <c r="M3" s="43" t="s">
        <v>223</v>
      </c>
      <c r="N3" s="40" t="s">
        <v>224</v>
      </c>
      <c r="O3" s="40" t="s">
        <v>225</v>
      </c>
      <c r="P3" s="43" t="s">
        <v>226</v>
      </c>
      <c r="Q3" s="40" t="s">
        <v>227</v>
      </c>
      <c r="R3" s="40" t="s">
        <v>228</v>
      </c>
      <c r="S3" s="43" t="s">
        <v>229</v>
      </c>
      <c r="T3" s="40" t="s">
        <v>230</v>
      </c>
      <c r="U3" s="37" t="s">
        <v>231</v>
      </c>
    </row>
    <row r="4" spans="1:21" ht="15" thickTop="1" x14ac:dyDescent="0.35">
      <c r="A4" s="44">
        <v>36</v>
      </c>
      <c r="B4" s="45" t="s">
        <v>171</v>
      </c>
      <c r="C4" s="46" t="s">
        <v>172</v>
      </c>
      <c r="D4" s="47" t="s">
        <v>174</v>
      </c>
      <c r="E4" s="48">
        <f>SUM(Tabel134[[#This Row],[2023]]+Tabel134[[#This Row],[2024 lisanduv]])</f>
        <v>476500</v>
      </c>
      <c r="F4" s="49">
        <f>SUM(Tabel134[[#This Row],[Inv.
(15)]:[Maj.kulu
(55) ]])</f>
        <v>326500</v>
      </c>
      <c r="G4" s="49">
        <f>SUM(Tabel134[[#This Row],[Inv.
(15)2]:[Maj.kulu
(55) 2]])</f>
        <v>317806</v>
      </c>
      <c r="H4" s="50">
        <f>SUM(Tabel134[[#This Row],[Inv.
(15)3]:[Maj.kulu
(55) 3]])</f>
        <v>150000</v>
      </c>
      <c r="I4" s="51">
        <f>SUM(Tabel134[[#This Row],[Inv.
(15)4]:[Maj.kulu
(55) 4]])</f>
        <v>472061.1</v>
      </c>
      <c r="J4" s="52">
        <v>72000</v>
      </c>
      <c r="K4" s="52">
        <v>62500</v>
      </c>
      <c r="L4" s="53">
        <v>192000</v>
      </c>
      <c r="M4" s="54">
        <v>72000</v>
      </c>
      <c r="N4" s="55">
        <v>62500</v>
      </c>
      <c r="O4" s="53">
        <v>183306</v>
      </c>
      <c r="P4" s="54">
        <v>0</v>
      </c>
      <c r="Q4" s="55">
        <v>150000</v>
      </c>
      <c r="R4" s="53">
        <v>0</v>
      </c>
      <c r="S4" s="54">
        <v>73200</v>
      </c>
      <c r="T4" s="55">
        <v>212500</v>
      </c>
      <c r="U4" s="55">
        <v>186361.1</v>
      </c>
    </row>
    <row r="5" spans="1:21" x14ac:dyDescent="0.35">
      <c r="A5" s="44">
        <v>37</v>
      </c>
      <c r="B5" s="45" t="s">
        <v>171</v>
      </c>
      <c r="C5" s="46" t="s">
        <v>187</v>
      </c>
      <c r="D5" s="47" t="s">
        <v>191</v>
      </c>
      <c r="E5" s="56">
        <f>SUM(Tabel134[[#This Row],[2023]]+Tabel134[[#This Row],[2024 lisanduv]])</f>
        <v>243100</v>
      </c>
      <c r="F5" s="57">
        <f>SUM(Tabel134[[#This Row],[Inv.
(15)]:[Maj.kulu
(55) ]])</f>
        <v>168100</v>
      </c>
      <c r="G5" s="57">
        <f>SUM(Tabel134[[#This Row],[Inv.
(15)2]:[Maj.kulu
(55) 2]])</f>
        <v>142195.4</v>
      </c>
      <c r="H5" s="57">
        <f>SUM(Tabel134[[#This Row],[Inv.
(15)3]:[Maj.kulu
(55) 3]])</f>
        <v>75000</v>
      </c>
      <c r="I5" s="58">
        <f>SUM(Tabel134[[#This Row],[Inv.
(15)4]:[Maj.kulu
(55) 4]])</f>
        <v>218737.74</v>
      </c>
      <c r="J5" s="52">
        <v>0</v>
      </c>
      <c r="K5" s="52">
        <v>62500</v>
      </c>
      <c r="L5" s="59">
        <v>105600</v>
      </c>
      <c r="M5" s="60">
        <v>0</v>
      </c>
      <c r="N5" s="52">
        <v>49655</v>
      </c>
      <c r="O5" s="59">
        <v>92540.4</v>
      </c>
      <c r="P5" s="60">
        <v>0</v>
      </c>
      <c r="Q5" s="52">
        <v>75000</v>
      </c>
      <c r="R5" s="59">
        <v>0</v>
      </c>
      <c r="S5" s="60">
        <v>0</v>
      </c>
      <c r="T5" s="52">
        <v>124655</v>
      </c>
      <c r="U5" s="52">
        <v>94082.739999999991</v>
      </c>
    </row>
    <row r="6" spans="1:21" x14ac:dyDescent="0.35">
      <c r="A6" s="44">
        <v>38</v>
      </c>
      <c r="B6" s="45" t="s">
        <v>171</v>
      </c>
      <c r="C6" s="46" t="s">
        <v>187</v>
      </c>
      <c r="D6" s="47" t="s">
        <v>189</v>
      </c>
      <c r="E6" s="56">
        <f>SUM(Tabel134[[#This Row],[2023]]+Tabel134[[#This Row],[2024 lisanduv]])</f>
        <v>422500</v>
      </c>
      <c r="F6" s="57">
        <f>SUM(Tabel134[[#This Row],[Inv.
(15)]:[Maj.kulu
(55) ]])</f>
        <v>422500</v>
      </c>
      <c r="G6" s="57">
        <f>SUM(Tabel134[[#This Row],[Inv.
(15)2]:[Maj.kulu
(55) 2]])</f>
        <v>384918.8</v>
      </c>
      <c r="H6" s="57">
        <f>SUM(Tabel134[[#This Row],[Inv.
(15)3]:[Maj.kulu
(55) 3]])</f>
        <v>0</v>
      </c>
      <c r="I6" s="58">
        <f>SUM(Tabel134[[#This Row],[Inv.
(15)4]:[Maj.kulu
(55) 4]])</f>
        <v>390682.38</v>
      </c>
      <c r="J6" s="52">
        <v>0</v>
      </c>
      <c r="K6" s="52">
        <v>62500</v>
      </c>
      <c r="L6" s="59">
        <v>360000</v>
      </c>
      <c r="M6" s="60">
        <v>0</v>
      </c>
      <c r="N6" s="52">
        <v>39104</v>
      </c>
      <c r="O6" s="59">
        <v>345814.8</v>
      </c>
      <c r="P6" s="60">
        <v>0</v>
      </c>
      <c r="Q6" s="52">
        <v>0</v>
      </c>
      <c r="R6" s="59">
        <v>0</v>
      </c>
      <c r="S6" s="60">
        <v>0</v>
      </c>
      <c r="T6" s="52">
        <v>39104</v>
      </c>
      <c r="U6" s="52">
        <v>351578.38</v>
      </c>
    </row>
    <row r="7" spans="1:21" x14ac:dyDescent="0.35">
      <c r="A7" s="44">
        <v>39</v>
      </c>
      <c r="B7" s="45" t="s">
        <v>171</v>
      </c>
      <c r="C7" s="46" t="s">
        <v>172</v>
      </c>
      <c r="D7" s="47" t="s">
        <v>180</v>
      </c>
      <c r="E7" s="56">
        <f>SUM(Tabel134[[#This Row],[2023]]+Tabel134[[#This Row],[2024 lisanduv]])</f>
        <v>161500</v>
      </c>
      <c r="F7" s="57">
        <f>SUM(Tabel134[[#This Row],[Inv.
(15)]:[Maj.kulu
(55) ]])</f>
        <v>61500</v>
      </c>
      <c r="G7" s="57">
        <f>SUM(Tabel134[[#This Row],[Inv.
(15)2]:[Maj.kulu
(55) 2]])</f>
        <v>45635</v>
      </c>
      <c r="H7" s="57">
        <f>SUM(Tabel134[[#This Row],[Inv.
(15)3]:[Maj.kulu
(55) 3]])</f>
        <v>100000</v>
      </c>
      <c r="I7" s="58">
        <f>SUM(Tabel134[[#This Row],[Inv.
(15)4]:[Maj.kulu
(55) 4]])</f>
        <v>146035</v>
      </c>
      <c r="J7" s="52">
        <v>0</v>
      </c>
      <c r="K7" s="52">
        <v>37500</v>
      </c>
      <c r="L7" s="59">
        <v>24000</v>
      </c>
      <c r="M7" s="60">
        <v>0</v>
      </c>
      <c r="N7" s="52">
        <v>21635</v>
      </c>
      <c r="O7" s="59">
        <v>24000</v>
      </c>
      <c r="P7" s="60">
        <v>0</v>
      </c>
      <c r="Q7" s="52">
        <v>100000</v>
      </c>
      <c r="R7" s="59">
        <v>0</v>
      </c>
      <c r="S7" s="60">
        <v>0</v>
      </c>
      <c r="T7" s="52">
        <v>121635</v>
      </c>
      <c r="U7" s="52">
        <v>24400</v>
      </c>
    </row>
    <row r="8" spans="1:21" x14ac:dyDescent="0.35">
      <c r="A8" s="44">
        <v>40</v>
      </c>
      <c r="B8" s="45" t="s">
        <v>171</v>
      </c>
      <c r="C8" s="46" t="s">
        <v>172</v>
      </c>
      <c r="D8" s="47" t="s">
        <v>182</v>
      </c>
      <c r="E8" s="56">
        <f>SUM(Tabel134[[#This Row],[2023]]+Tabel134[[#This Row],[2024 lisanduv]])</f>
        <v>224700</v>
      </c>
      <c r="F8" s="57">
        <f>SUM(Tabel134[[#This Row],[Inv.
(15)]:[Maj.kulu
(55) ]])</f>
        <v>62500</v>
      </c>
      <c r="G8" s="57">
        <f>SUM(Tabel134[[#This Row],[Inv.
(15)2]:[Maj.kulu
(55) 2]])</f>
        <v>198</v>
      </c>
      <c r="H8" s="57">
        <f>SUM(Tabel134[[#This Row],[Inv.
(15)3]:[Maj.kulu
(55) 3]])</f>
        <v>162200</v>
      </c>
      <c r="I8" s="58">
        <f>SUM(Tabel134[[#This Row],[Inv.
(15)4]:[Maj.kulu
(55) 4]])</f>
        <v>162398</v>
      </c>
      <c r="J8" s="52">
        <v>0</v>
      </c>
      <c r="K8" s="52">
        <v>62500</v>
      </c>
      <c r="L8" s="59">
        <v>0</v>
      </c>
      <c r="M8" s="60">
        <v>0</v>
      </c>
      <c r="N8" s="52">
        <v>198</v>
      </c>
      <c r="O8" s="59">
        <v>0</v>
      </c>
      <c r="P8" s="60">
        <v>0</v>
      </c>
      <c r="Q8" s="52">
        <v>150000</v>
      </c>
      <c r="R8" s="59">
        <v>12200</v>
      </c>
      <c r="S8" s="60">
        <v>0</v>
      </c>
      <c r="T8" s="52">
        <v>150198</v>
      </c>
      <c r="U8" s="52">
        <v>12200</v>
      </c>
    </row>
    <row r="9" spans="1:21" x14ac:dyDescent="0.35">
      <c r="A9" s="44">
        <v>41</v>
      </c>
      <c r="B9" s="45" t="s">
        <v>171</v>
      </c>
      <c r="C9" s="46" t="s">
        <v>172</v>
      </c>
      <c r="D9" s="47" t="s">
        <v>178</v>
      </c>
      <c r="E9" s="56">
        <f>SUM(Tabel134[[#This Row],[2023]]+Tabel134[[#This Row],[2024 lisanduv]])</f>
        <v>148800</v>
      </c>
      <c r="F9" s="57">
        <f>SUM(Tabel134[[#This Row],[Inv.
(15)]:[Maj.kulu
(55) ]])</f>
        <v>0</v>
      </c>
      <c r="G9" s="57">
        <f>SUM(Tabel134[[#This Row],[Inv.
(15)2]:[Maj.kulu
(55) 2]])</f>
        <v>0</v>
      </c>
      <c r="H9" s="57">
        <f>SUM(Tabel134[[#This Row],[Inv.
(15)3]:[Maj.kulu
(55) 3]])</f>
        <v>148800</v>
      </c>
      <c r="I9" s="58">
        <f>SUM(Tabel134[[#This Row],[Inv.
(15)4]:[Maj.kulu
(55) 4]])</f>
        <v>148800</v>
      </c>
      <c r="J9" s="52">
        <v>0</v>
      </c>
      <c r="K9" s="52">
        <v>0</v>
      </c>
      <c r="L9" s="59">
        <v>0</v>
      </c>
      <c r="M9" s="60">
        <v>0</v>
      </c>
      <c r="N9" s="52">
        <v>0</v>
      </c>
      <c r="O9" s="59">
        <v>0</v>
      </c>
      <c r="P9" s="60">
        <v>0</v>
      </c>
      <c r="Q9" s="52">
        <v>100000</v>
      </c>
      <c r="R9" s="59">
        <v>48800</v>
      </c>
      <c r="S9" s="60">
        <v>0</v>
      </c>
      <c r="T9" s="52">
        <v>100000</v>
      </c>
      <c r="U9" s="52">
        <v>48800</v>
      </c>
    </row>
    <row r="10" spans="1:21" x14ac:dyDescent="0.35">
      <c r="A10" s="44">
        <v>42</v>
      </c>
      <c r="B10" s="45" t="s">
        <v>171</v>
      </c>
      <c r="C10" s="46" t="s">
        <v>192</v>
      </c>
      <c r="D10" s="61" t="s">
        <v>232</v>
      </c>
      <c r="E10" s="62">
        <f>SUM(Tabel134[[#This Row],[2023]]+Tabel134[[#This Row],[2024 lisanduv]])</f>
        <v>536400</v>
      </c>
      <c r="F10" s="63">
        <f>SUM(Tabel134[[#This Row],[Inv.
(15)]:[Maj.kulu
(55) ]])</f>
        <v>536400</v>
      </c>
      <c r="G10" s="63">
        <f>SUM(Tabel134[[#This Row],[Inv.
(15)2]:[Maj.kulu
(55) 2]])</f>
        <v>536400</v>
      </c>
      <c r="H10" s="63">
        <f>SUM(Tabel134[[#This Row],[Inv.
(15)3]:[Maj.kulu
(55) 3]])</f>
        <v>0</v>
      </c>
      <c r="I10" s="64">
        <f>SUM(Tabel134[[#This Row],[Inv.
(15)4]:[Maj.kulu
(55) 4]])</f>
        <v>545340</v>
      </c>
      <c r="J10" s="65">
        <v>536400</v>
      </c>
      <c r="K10" s="65">
        <v>0</v>
      </c>
      <c r="L10" s="66">
        <v>0</v>
      </c>
      <c r="M10" s="67">
        <v>536400</v>
      </c>
      <c r="N10" s="65">
        <v>0</v>
      </c>
      <c r="O10" s="66">
        <v>0</v>
      </c>
      <c r="P10" s="67">
        <v>0</v>
      </c>
      <c r="Q10" s="65">
        <v>0</v>
      </c>
      <c r="R10" s="66">
        <v>0</v>
      </c>
      <c r="S10" s="67">
        <v>545340</v>
      </c>
      <c r="T10" s="65">
        <v>0</v>
      </c>
      <c r="U10" s="65">
        <v>0</v>
      </c>
    </row>
    <row r="11" spans="1:21" x14ac:dyDescent="0.35">
      <c r="A11" s="44">
        <v>43</v>
      </c>
      <c r="B11" s="45" t="s">
        <v>171</v>
      </c>
      <c r="C11" s="46" t="s">
        <v>192</v>
      </c>
      <c r="D11" s="47" t="s">
        <v>195</v>
      </c>
      <c r="E11" s="56">
        <f>SUM(Tabel134[[#This Row],[2023]]+Tabel134[[#This Row],[2024 lisanduv]])</f>
        <v>464200</v>
      </c>
      <c r="F11" s="57">
        <f>SUM(Tabel134[[#This Row],[Inv.
(15)]:[Maj.kulu
(55) ]])</f>
        <v>464200</v>
      </c>
      <c r="G11" s="57">
        <f>SUM(Tabel134[[#This Row],[Inv.
(15)2]:[Maj.kulu
(55) 2]])</f>
        <v>464200</v>
      </c>
      <c r="H11" s="57">
        <f>SUM(Tabel134[[#This Row],[Inv.
(15)3]:[Maj.kulu
(55) 3]])</f>
        <v>0</v>
      </c>
      <c r="I11" s="58">
        <f>SUM(Tabel134[[#This Row],[Inv.
(15)4]:[Maj.kulu
(55) 4]])</f>
        <v>464200</v>
      </c>
      <c r="J11" s="52">
        <v>0</v>
      </c>
      <c r="K11" s="52">
        <v>464200</v>
      </c>
      <c r="L11" s="59">
        <v>0</v>
      </c>
      <c r="M11" s="60">
        <v>0</v>
      </c>
      <c r="N11" s="52">
        <v>464200</v>
      </c>
      <c r="O11" s="59">
        <v>0</v>
      </c>
      <c r="P11" s="60">
        <v>0</v>
      </c>
      <c r="Q11" s="52">
        <v>0</v>
      </c>
      <c r="R11" s="59">
        <v>0</v>
      </c>
      <c r="S11" s="60">
        <v>0</v>
      </c>
      <c r="T11" s="52">
        <v>464200</v>
      </c>
      <c r="U11" s="52">
        <v>0</v>
      </c>
    </row>
    <row r="12" spans="1:21" x14ac:dyDescent="0.35">
      <c r="A12" s="44">
        <v>44</v>
      </c>
      <c r="B12" s="45" t="s">
        <v>171</v>
      </c>
      <c r="C12" s="46" t="s">
        <v>192</v>
      </c>
      <c r="D12" s="47" t="s">
        <v>193</v>
      </c>
      <c r="E12" s="56">
        <f>SUM(Tabel134[[#This Row],[2023]]+Tabel134[[#This Row],[2024 lisanduv]])</f>
        <v>140250</v>
      </c>
      <c r="F12" s="57">
        <f>SUM(Tabel134[[#This Row],[Inv.
(15)]:[Maj.kulu
(55) ]])</f>
        <v>140250</v>
      </c>
      <c r="G12" s="57">
        <f>SUM(Tabel134[[#This Row],[Inv.
(15)2]:[Maj.kulu
(55) 2]])</f>
        <v>140250</v>
      </c>
      <c r="H12" s="57">
        <f>SUM(Tabel134[[#This Row],[Inv.
(15)3]:[Maj.kulu
(55) 3]])</f>
        <v>0</v>
      </c>
      <c r="I12" s="58">
        <f>SUM(Tabel134[[#This Row],[Inv.
(15)4]:[Maj.kulu
(55) 4]])</f>
        <v>142587.5</v>
      </c>
      <c r="J12" s="52">
        <v>0</v>
      </c>
      <c r="K12" s="52">
        <v>0</v>
      </c>
      <c r="L12" s="59">
        <v>140250</v>
      </c>
      <c r="M12" s="60">
        <v>0</v>
      </c>
      <c r="N12" s="52">
        <v>0</v>
      </c>
      <c r="O12" s="59">
        <v>140250</v>
      </c>
      <c r="P12" s="60">
        <v>0</v>
      </c>
      <c r="Q12" s="52">
        <v>0</v>
      </c>
      <c r="R12" s="59">
        <v>0</v>
      </c>
      <c r="S12" s="60">
        <v>0</v>
      </c>
      <c r="T12" s="52">
        <v>0</v>
      </c>
      <c r="U12" s="52">
        <v>142587.5</v>
      </c>
    </row>
    <row r="13" spans="1:21" x14ac:dyDescent="0.35">
      <c r="A13" s="44">
        <v>45</v>
      </c>
      <c r="B13" s="45" t="s">
        <v>27</v>
      </c>
      <c r="C13" s="46" t="s">
        <v>156</v>
      </c>
      <c r="D13" s="47" t="s">
        <v>160</v>
      </c>
      <c r="E13" s="56">
        <f>SUM(Tabel134[[#This Row],[2023]]+Tabel134[[#This Row],[2024 lisanduv]])</f>
        <v>379610.76</v>
      </c>
      <c r="F13" s="57">
        <f>SUM(Tabel134[[#This Row],[Inv.
(15)]:[Maj.kulu
(55) ]])</f>
        <v>135400</v>
      </c>
      <c r="G13" s="57">
        <f>SUM(Tabel134[[#This Row],[Inv.
(15)2]:[Maj.kulu
(55) 2]])</f>
        <v>-109.59999999999127</v>
      </c>
      <c r="H13" s="57">
        <f>SUM(Tabel134[[#This Row],[Inv.
(15)3]:[Maj.kulu
(55) 3]])</f>
        <v>244210.76</v>
      </c>
      <c r="I13" s="58">
        <f>SUM(Tabel134[[#This Row],[Inv.
(15)4]:[Maj.kulu
(55) 4]])</f>
        <v>244000</v>
      </c>
      <c r="J13" s="52">
        <v>116400</v>
      </c>
      <c r="K13" s="52">
        <v>19000</v>
      </c>
      <c r="L13" s="59">
        <v>0</v>
      </c>
      <c r="M13" s="60">
        <v>116400</v>
      </c>
      <c r="N13" s="52">
        <v>5960</v>
      </c>
      <c r="O13" s="59">
        <v>-122469.59999999999</v>
      </c>
      <c r="P13" s="60">
        <v>-118340</v>
      </c>
      <c r="Q13" s="52">
        <v>-5960</v>
      </c>
      <c r="R13" s="59">
        <v>368510.76</v>
      </c>
      <c r="S13" s="60">
        <v>0</v>
      </c>
      <c r="T13" s="52">
        <v>0</v>
      </c>
      <c r="U13" s="52">
        <v>244000</v>
      </c>
    </row>
    <row r="14" spans="1:21" ht="29" x14ac:dyDescent="0.35">
      <c r="A14" s="44">
        <v>46</v>
      </c>
      <c r="B14" s="45" t="s">
        <v>27</v>
      </c>
      <c r="C14" s="46" t="s">
        <v>156</v>
      </c>
      <c r="D14" s="47" t="s">
        <v>168</v>
      </c>
      <c r="E14" s="56">
        <f>SUM(Tabel134[[#This Row],[2023]]+Tabel134[[#This Row],[2024 lisanduv]])</f>
        <v>599618.02</v>
      </c>
      <c r="F14" s="57">
        <f>SUM(Tabel134[[#This Row],[Inv.
(15)]:[Maj.kulu
(55) ]])</f>
        <v>83399.599999999991</v>
      </c>
      <c r="G14" s="57">
        <f>SUM(Tabel134[[#This Row],[Inv.
(15)2]:[Maj.kulu
(55) 2]])</f>
        <v>52611.799999999996</v>
      </c>
      <c r="H14" s="57">
        <f>SUM(Tabel134[[#This Row],[Inv.
(15)3]:[Maj.kulu
(55) 3]])</f>
        <v>516218.42</v>
      </c>
      <c r="I14" s="58">
        <f>SUM(Tabel134[[#This Row],[Inv.
(15)4]:[Maj.kulu
(55) 4]])</f>
        <v>569844</v>
      </c>
      <c r="J14" s="52">
        <v>68199.599999999991</v>
      </c>
      <c r="K14" s="52">
        <v>15200</v>
      </c>
      <c r="L14" s="59">
        <v>0</v>
      </c>
      <c r="M14" s="60">
        <v>60826.799999999996</v>
      </c>
      <c r="N14" s="52">
        <v>-8215</v>
      </c>
      <c r="O14" s="59">
        <v>0</v>
      </c>
      <c r="P14" s="60">
        <v>463003.42</v>
      </c>
      <c r="Q14" s="52">
        <v>53215</v>
      </c>
      <c r="R14" s="59">
        <v>0</v>
      </c>
      <c r="S14" s="60">
        <v>524844</v>
      </c>
      <c r="T14" s="52">
        <v>45000</v>
      </c>
      <c r="U14" s="52">
        <v>0</v>
      </c>
    </row>
    <row r="15" spans="1:21" ht="43.5" x14ac:dyDescent="0.35">
      <c r="A15" s="44">
        <v>47</v>
      </c>
      <c r="B15" s="45" t="s">
        <v>27</v>
      </c>
      <c r="C15" s="46" t="s">
        <v>156</v>
      </c>
      <c r="D15" s="47" t="s">
        <v>233</v>
      </c>
      <c r="E15" s="56">
        <f>SUM(Tabel134[[#This Row],[2023]]+Tabel134[[#This Row],[2024 lisanduv]])</f>
        <v>238176</v>
      </c>
      <c r="F15" s="57">
        <f>SUM(Tabel134[[#This Row],[Inv.
(15)]:[Maj.kulu
(55) ]])</f>
        <v>42000</v>
      </c>
      <c r="G15" s="57">
        <f>SUM(Tabel134[[#This Row],[Inv.
(15)2]:[Maj.kulu
(55) 2]])</f>
        <v>42000</v>
      </c>
      <c r="H15" s="57">
        <f>SUM(Tabel134[[#This Row],[Inv.
(15)3]:[Maj.kulu
(55) 3]])</f>
        <v>196176</v>
      </c>
      <c r="I15" s="58">
        <f>SUM(Tabel134[[#This Row],[Inv.
(15)4]:[Maj.kulu
(55) 4]])</f>
        <v>238876</v>
      </c>
      <c r="J15" s="52">
        <v>42000</v>
      </c>
      <c r="K15" s="52">
        <v>0</v>
      </c>
      <c r="L15" s="59">
        <v>0</v>
      </c>
      <c r="M15" s="60">
        <v>42000</v>
      </c>
      <c r="N15" s="52">
        <v>0</v>
      </c>
      <c r="O15" s="59">
        <v>0</v>
      </c>
      <c r="P15" s="60">
        <v>196176</v>
      </c>
      <c r="Q15" s="52">
        <v>0</v>
      </c>
      <c r="R15" s="59">
        <v>0</v>
      </c>
      <c r="S15" s="60">
        <v>238876</v>
      </c>
      <c r="T15" s="52">
        <v>0</v>
      </c>
      <c r="U15" s="52">
        <v>0</v>
      </c>
    </row>
    <row r="16" spans="1:21" ht="43.5" x14ac:dyDescent="0.35">
      <c r="A16" s="44">
        <v>48</v>
      </c>
      <c r="B16" s="45" t="s">
        <v>27</v>
      </c>
      <c r="C16" s="46" t="s">
        <v>156</v>
      </c>
      <c r="D16" s="47" t="s">
        <v>165</v>
      </c>
      <c r="E16" s="56">
        <f>SUM(Tabel134[[#This Row],[2023]]+Tabel134[[#This Row],[2024 lisanduv]])</f>
        <v>670542</v>
      </c>
      <c r="F16" s="57">
        <f>SUM(Tabel134[[#This Row],[Inv.
(15)]:[Maj.kulu
(55) ]])</f>
        <v>15200</v>
      </c>
      <c r="G16" s="57">
        <f>SUM(Tabel134[[#This Row],[Inv.
(15)2]:[Maj.kulu
(55) 2]])</f>
        <v>-342</v>
      </c>
      <c r="H16" s="57">
        <f>SUM(Tabel134[[#This Row],[Inv.
(15)3]:[Maj.kulu
(55) 3]])</f>
        <v>655342</v>
      </c>
      <c r="I16" s="58">
        <f>SUM(Tabel134[[#This Row],[Inv.
(15)4]:[Maj.kulu
(55) 4]])</f>
        <v>655000</v>
      </c>
      <c r="J16" s="52">
        <v>0</v>
      </c>
      <c r="K16" s="52">
        <v>15200</v>
      </c>
      <c r="L16" s="59">
        <v>0</v>
      </c>
      <c r="M16" s="60">
        <v>0</v>
      </c>
      <c r="N16" s="52">
        <v>-342</v>
      </c>
      <c r="O16" s="59">
        <v>0</v>
      </c>
      <c r="P16" s="60">
        <v>610000</v>
      </c>
      <c r="Q16" s="52">
        <v>45342</v>
      </c>
      <c r="R16" s="59">
        <v>0</v>
      </c>
      <c r="S16" s="60">
        <v>610000</v>
      </c>
      <c r="T16" s="52">
        <v>45000</v>
      </c>
      <c r="U16" s="52">
        <v>0</v>
      </c>
    </row>
    <row r="17" spans="1:21" x14ac:dyDescent="0.35">
      <c r="A17" s="44">
        <v>49</v>
      </c>
      <c r="B17" s="45" t="s">
        <v>27</v>
      </c>
      <c r="C17" s="46" t="s">
        <v>156</v>
      </c>
      <c r="D17" s="47" t="s">
        <v>158</v>
      </c>
      <c r="E17" s="56">
        <f>SUM(Tabel134[[#This Row],[2023]]+Tabel134[[#This Row],[2024 lisanduv]])</f>
        <v>379417.94</v>
      </c>
      <c r="F17" s="57">
        <f>SUM(Tabel134[[#This Row],[Inv.
(15)]:[Maj.kulu
(55) ]])</f>
        <v>240000</v>
      </c>
      <c r="G17" s="57">
        <f>SUM(Tabel134[[#This Row],[Inv.
(15)2]:[Maj.kulu
(55) 2]])</f>
        <v>54867.6</v>
      </c>
      <c r="H17" s="57">
        <f>SUM(Tabel134[[#This Row],[Inv.
(15)3]:[Maj.kulu
(55) 3]])</f>
        <v>139417.94</v>
      </c>
      <c r="I17" s="58">
        <f>SUM(Tabel134[[#This Row],[Inv.
(15)4]:[Maj.kulu
(55) 4]])</f>
        <v>195200</v>
      </c>
      <c r="J17" s="52">
        <v>240000</v>
      </c>
      <c r="K17" s="52">
        <v>0</v>
      </c>
      <c r="L17" s="59">
        <v>0</v>
      </c>
      <c r="M17" s="60">
        <v>54867.6</v>
      </c>
      <c r="N17" s="52">
        <v>0</v>
      </c>
      <c r="O17" s="59">
        <v>0</v>
      </c>
      <c r="P17" s="60">
        <v>139417.94</v>
      </c>
      <c r="Q17" s="52">
        <v>0</v>
      </c>
      <c r="R17" s="59">
        <v>0</v>
      </c>
      <c r="S17" s="60">
        <v>195200</v>
      </c>
      <c r="T17" s="52">
        <v>0</v>
      </c>
      <c r="U17" s="52">
        <v>0</v>
      </c>
    </row>
    <row r="18" spans="1:21" x14ac:dyDescent="0.35">
      <c r="A18" s="44">
        <v>50</v>
      </c>
      <c r="B18" s="45" t="s">
        <v>27</v>
      </c>
      <c r="C18" s="46" t="s">
        <v>156</v>
      </c>
      <c r="D18" s="47" t="s">
        <v>159</v>
      </c>
      <c r="E18" s="56">
        <f>SUM(Tabel134[[#This Row],[2023]]+Tabel134[[#This Row],[2024 lisanduv]])</f>
        <v>36400</v>
      </c>
      <c r="F18" s="57">
        <f>SUM(Tabel134[[#This Row],[Inv.
(15)]:[Maj.kulu
(55) ]])</f>
        <v>12000</v>
      </c>
      <c r="G18" s="57">
        <f>SUM(Tabel134[[#This Row],[Inv.
(15)2]:[Maj.kulu
(55) 2]])</f>
        <v>12000</v>
      </c>
      <c r="H18" s="57">
        <f>SUM(Tabel134[[#This Row],[Inv.
(15)3]:[Maj.kulu
(55) 3]])</f>
        <v>24400</v>
      </c>
      <c r="I18" s="58">
        <f>SUM(Tabel134[[#This Row],[Inv.
(15)4]:[Maj.kulu
(55) 4]])</f>
        <v>36600</v>
      </c>
      <c r="J18" s="52">
        <v>0</v>
      </c>
      <c r="K18" s="52">
        <v>0</v>
      </c>
      <c r="L18" s="59">
        <v>12000</v>
      </c>
      <c r="M18" s="60">
        <v>0</v>
      </c>
      <c r="N18" s="52">
        <v>0</v>
      </c>
      <c r="O18" s="59">
        <v>12000</v>
      </c>
      <c r="P18" s="60">
        <v>0</v>
      </c>
      <c r="Q18" s="52">
        <v>0</v>
      </c>
      <c r="R18" s="59">
        <v>24400</v>
      </c>
      <c r="S18" s="60">
        <v>0</v>
      </c>
      <c r="T18" s="52">
        <v>0</v>
      </c>
      <c r="U18" s="52">
        <v>36600</v>
      </c>
    </row>
    <row r="19" spans="1:21" ht="29" x14ac:dyDescent="0.35">
      <c r="A19" s="44">
        <v>51</v>
      </c>
      <c r="B19" s="45" t="s">
        <v>27</v>
      </c>
      <c r="C19" s="46" t="s">
        <v>161</v>
      </c>
      <c r="D19" s="47" t="s">
        <v>166</v>
      </c>
      <c r="E19" s="56">
        <f>SUM(Tabel134[[#This Row],[2023]]+Tabel134[[#This Row],[2024 lisanduv]])</f>
        <v>1223156.78</v>
      </c>
      <c r="F19" s="57">
        <f>SUM(Tabel134[[#This Row],[Inv.
(15)]:[Maj.kulu
(55) ]])</f>
        <v>754800</v>
      </c>
      <c r="G19" s="57">
        <f>SUM(Tabel134[[#This Row],[Inv.
(15)2]:[Maj.kulu
(55) 2]])</f>
        <v>739321.2</v>
      </c>
      <c r="H19" s="57">
        <f>SUM(Tabel134[[#This Row],[Inv.
(15)3]:[Maj.kulu
(55) 3]])</f>
        <v>468356.78</v>
      </c>
      <c r="I19" s="58">
        <f>SUM(Tabel134[[#This Row],[Inv.
(15)4]:[Maj.kulu
(55) 4]])</f>
        <v>1220000</v>
      </c>
      <c r="J19" s="52">
        <v>528000</v>
      </c>
      <c r="K19" s="52">
        <v>0</v>
      </c>
      <c r="L19" s="59">
        <v>226800</v>
      </c>
      <c r="M19" s="60">
        <v>512521.19999999995</v>
      </c>
      <c r="N19" s="52">
        <v>0</v>
      </c>
      <c r="O19" s="59">
        <v>226800</v>
      </c>
      <c r="P19" s="60">
        <v>698936.78</v>
      </c>
      <c r="Q19" s="52">
        <v>0</v>
      </c>
      <c r="R19" s="59">
        <v>-230580</v>
      </c>
      <c r="S19" s="60">
        <v>1220000</v>
      </c>
      <c r="T19" s="52">
        <v>0</v>
      </c>
      <c r="U19" s="52">
        <v>0</v>
      </c>
    </row>
    <row r="20" spans="1:21" ht="29" x14ac:dyDescent="0.35">
      <c r="A20" s="44">
        <v>52</v>
      </c>
      <c r="B20" s="45" t="s">
        <v>27</v>
      </c>
      <c r="C20" s="46" t="s">
        <v>161</v>
      </c>
      <c r="D20" s="47" t="s">
        <v>163</v>
      </c>
      <c r="E20" s="56">
        <f>SUM(Tabel134[[#This Row],[2023]]+Tabel134[[#This Row],[2024 lisanduv]])</f>
        <v>61000</v>
      </c>
      <c r="F20" s="57">
        <f>SUM(Tabel134[[#This Row],[Inv.
(15)]:[Maj.kulu
(55) ]])</f>
        <v>0</v>
      </c>
      <c r="G20" s="57">
        <f>SUM(Tabel134[[#This Row],[Inv.
(15)2]:[Maj.kulu
(55) 2]])</f>
        <v>0</v>
      </c>
      <c r="H20" s="57">
        <f>SUM(Tabel134[[#This Row],[Inv.
(15)3]:[Maj.kulu
(55) 3]])</f>
        <v>61000</v>
      </c>
      <c r="I20" s="58">
        <f>SUM(Tabel134[[#This Row],[Inv.
(15)4]:[Maj.kulu
(55) 4]])</f>
        <v>61000</v>
      </c>
      <c r="J20" s="52">
        <v>0</v>
      </c>
      <c r="K20" s="52">
        <v>0</v>
      </c>
      <c r="L20" s="59">
        <v>0</v>
      </c>
      <c r="M20" s="60">
        <v>0</v>
      </c>
      <c r="N20" s="52">
        <v>0</v>
      </c>
      <c r="O20" s="59">
        <v>0</v>
      </c>
      <c r="P20" s="60">
        <v>61000</v>
      </c>
      <c r="Q20" s="52">
        <v>0</v>
      </c>
      <c r="R20" s="59">
        <v>0</v>
      </c>
      <c r="S20" s="60">
        <v>61000</v>
      </c>
      <c r="T20" s="52">
        <v>0</v>
      </c>
      <c r="U20" s="52">
        <v>0</v>
      </c>
    </row>
    <row r="21" spans="1:21" x14ac:dyDescent="0.35">
      <c r="A21" s="44">
        <v>53</v>
      </c>
      <c r="B21" s="45" t="s">
        <v>27</v>
      </c>
      <c r="C21" s="46" t="s">
        <v>112</v>
      </c>
      <c r="D21" s="47" t="s">
        <v>121</v>
      </c>
      <c r="E21" s="56">
        <f>SUM(Tabel134[[#This Row],[2023]]+Tabel134[[#This Row],[2024 lisanduv]])</f>
        <v>416083.44</v>
      </c>
      <c r="F21" s="57">
        <f>SUM(Tabel134[[#This Row],[Inv.
(15)]:[Maj.kulu
(55) ]])</f>
        <v>0</v>
      </c>
      <c r="G21" s="57">
        <f>SUM(Tabel134[[#This Row],[Inv.
(15)2]:[Maj.kulu
(55) 2]])</f>
        <v>0</v>
      </c>
      <c r="H21" s="57">
        <f>SUM(Tabel134[[#This Row],[Inv.
(15)3]:[Maj.kulu
(55) 3]])</f>
        <v>416083.44</v>
      </c>
      <c r="I21" s="58">
        <f>SUM(Tabel134[[#This Row],[Inv.
(15)4]:[Maj.kulu
(55) 4]])</f>
        <v>416083.44</v>
      </c>
      <c r="J21" s="52">
        <v>0</v>
      </c>
      <c r="K21" s="52">
        <v>0</v>
      </c>
      <c r="L21" s="59">
        <v>0</v>
      </c>
      <c r="M21" s="60">
        <v>0</v>
      </c>
      <c r="N21" s="52">
        <v>0</v>
      </c>
      <c r="O21" s="59">
        <v>0</v>
      </c>
      <c r="P21" s="60">
        <v>318483.44</v>
      </c>
      <c r="Q21" s="52">
        <v>0</v>
      </c>
      <c r="R21" s="59">
        <v>97600</v>
      </c>
      <c r="S21" s="60">
        <v>318483.44</v>
      </c>
      <c r="T21" s="52">
        <v>0</v>
      </c>
      <c r="U21" s="52">
        <v>97600</v>
      </c>
    </row>
    <row r="22" spans="1:21" x14ac:dyDescent="0.35">
      <c r="A22" s="44">
        <v>54</v>
      </c>
      <c r="B22" s="45" t="s">
        <v>27</v>
      </c>
      <c r="C22" s="46" t="s">
        <v>112</v>
      </c>
      <c r="D22" s="47" t="s">
        <v>115</v>
      </c>
      <c r="E22" s="56">
        <f>SUM(Tabel134[[#This Row],[2023]]+Tabel134[[#This Row],[2024 lisanduv]])</f>
        <v>244000</v>
      </c>
      <c r="F22" s="57">
        <f>SUM(Tabel134[[#This Row],[Inv.
(15)]:[Maj.kulu
(55) ]])</f>
        <v>0</v>
      </c>
      <c r="G22" s="57">
        <f>SUM(Tabel134[[#This Row],[Inv.
(15)2]:[Maj.kulu
(55) 2]])</f>
        <v>0</v>
      </c>
      <c r="H22" s="57">
        <f>SUM(Tabel134[[#This Row],[Inv.
(15)3]:[Maj.kulu
(55) 3]])</f>
        <v>244000</v>
      </c>
      <c r="I22" s="58">
        <f>SUM(Tabel134[[#This Row],[Inv.
(15)4]:[Maj.kulu
(55) 4]])</f>
        <v>244000</v>
      </c>
      <c r="J22" s="52">
        <v>0</v>
      </c>
      <c r="K22" s="52">
        <v>0</v>
      </c>
      <c r="L22" s="59">
        <v>0</v>
      </c>
      <c r="M22" s="60">
        <v>0</v>
      </c>
      <c r="N22" s="52">
        <v>0</v>
      </c>
      <c r="O22" s="59">
        <v>0</v>
      </c>
      <c r="P22" s="60">
        <v>244000</v>
      </c>
      <c r="Q22" s="52">
        <v>0</v>
      </c>
      <c r="R22" s="59">
        <v>0</v>
      </c>
      <c r="S22" s="60">
        <v>244000</v>
      </c>
      <c r="T22" s="52">
        <v>0</v>
      </c>
      <c r="U22" s="52">
        <v>0</v>
      </c>
    </row>
    <row r="23" spans="1:21" ht="29" x14ac:dyDescent="0.35">
      <c r="A23" s="44">
        <v>55</v>
      </c>
      <c r="B23" s="45" t="s">
        <v>27</v>
      </c>
      <c r="C23" s="46" t="s">
        <v>112</v>
      </c>
      <c r="D23" s="47" t="s">
        <v>234</v>
      </c>
      <c r="E23" s="56">
        <f>SUM(Tabel134[[#This Row],[2023]]+Tabel134[[#This Row],[2024 lisanduv]])</f>
        <v>85457.62</v>
      </c>
      <c r="F23" s="57">
        <f>SUM(Tabel134[[#This Row],[Inv.
(15)]:[Maj.kulu
(55) ]])</f>
        <v>63667.199999999997</v>
      </c>
      <c r="G23" s="57">
        <f>SUM(Tabel134[[#This Row],[Inv.
(15)2]:[Maj.kulu
(55) 2]])</f>
        <v>63667.199999999997</v>
      </c>
      <c r="H23" s="57">
        <f>SUM(Tabel134[[#This Row],[Inv.
(15)3]:[Maj.kulu
(55) 3]])</f>
        <v>21790.42</v>
      </c>
      <c r="I23" s="58">
        <f>SUM(Tabel134[[#This Row],[Inv.
(15)4]:[Maj.kulu
(55) 4]])</f>
        <v>86518.74</v>
      </c>
      <c r="J23" s="52">
        <v>63667.199999999997</v>
      </c>
      <c r="K23" s="52">
        <v>0</v>
      </c>
      <c r="L23" s="59">
        <v>0</v>
      </c>
      <c r="M23" s="60">
        <v>63667.199999999997</v>
      </c>
      <c r="N23" s="52">
        <v>0</v>
      </c>
      <c r="O23" s="59">
        <v>0</v>
      </c>
      <c r="P23" s="60">
        <v>21790.42</v>
      </c>
      <c r="Q23" s="52">
        <v>0</v>
      </c>
      <c r="R23" s="59">
        <v>0</v>
      </c>
      <c r="S23" s="60">
        <v>86518.74</v>
      </c>
      <c r="T23" s="52">
        <v>0</v>
      </c>
      <c r="U23" s="52">
        <v>0</v>
      </c>
    </row>
    <row r="24" spans="1:21" ht="29" x14ac:dyDescent="0.35">
      <c r="A24" s="44">
        <v>56</v>
      </c>
      <c r="B24" s="45" t="s">
        <v>27</v>
      </c>
      <c r="C24" s="46" t="s">
        <v>112</v>
      </c>
      <c r="D24" s="47" t="s">
        <v>235</v>
      </c>
      <c r="E24" s="56">
        <f>SUM(Tabel134[[#This Row],[2023]]+Tabel134[[#This Row],[2024 lisanduv]])</f>
        <v>162531.82</v>
      </c>
      <c r="F24" s="57">
        <f>SUM(Tabel134[[#This Row],[Inv.
(15)]:[Maj.kulu
(55) ]])</f>
        <v>121087.2</v>
      </c>
      <c r="G24" s="57">
        <f>SUM(Tabel134[[#This Row],[Inv.
(15)2]:[Maj.kulu
(55) 2]])</f>
        <v>121087.2</v>
      </c>
      <c r="H24" s="57">
        <f>SUM(Tabel134[[#This Row],[Inv.
(15)3]:[Maj.kulu
(55) 3]])</f>
        <v>41444.620000000003</v>
      </c>
      <c r="I24" s="58">
        <f>SUM(Tabel134[[#This Row],[Inv.
(15)4]:[Maj.kulu
(55) 4]])</f>
        <v>164549.94</v>
      </c>
      <c r="J24" s="52">
        <v>121087.2</v>
      </c>
      <c r="K24" s="52">
        <v>0</v>
      </c>
      <c r="L24" s="59">
        <v>0</v>
      </c>
      <c r="M24" s="60">
        <v>121087.2</v>
      </c>
      <c r="N24" s="52">
        <v>0</v>
      </c>
      <c r="O24" s="59">
        <v>0</v>
      </c>
      <c r="P24" s="60">
        <v>41444.620000000003</v>
      </c>
      <c r="Q24" s="52">
        <v>0</v>
      </c>
      <c r="R24" s="59">
        <v>0</v>
      </c>
      <c r="S24" s="60">
        <v>164549.94</v>
      </c>
      <c r="T24" s="52">
        <v>0</v>
      </c>
      <c r="U24" s="52">
        <v>0</v>
      </c>
    </row>
    <row r="25" spans="1:21" x14ac:dyDescent="0.35">
      <c r="A25" s="44">
        <v>57</v>
      </c>
      <c r="B25" s="45" t="s">
        <v>27</v>
      </c>
      <c r="C25" s="46" t="s">
        <v>112</v>
      </c>
      <c r="D25" s="47" t="s">
        <v>236</v>
      </c>
      <c r="E25" s="56">
        <f>SUM(Tabel134[[#This Row],[2023]]+Tabel134[[#This Row],[2024 lisanduv]])</f>
        <v>60000</v>
      </c>
      <c r="F25" s="57">
        <f>SUM(Tabel134[[#This Row],[Inv.
(15)]:[Maj.kulu
(55) ]])</f>
        <v>60000</v>
      </c>
      <c r="G25" s="57">
        <f>SUM(Tabel134[[#This Row],[Inv.
(15)2]:[Maj.kulu
(55) 2]])</f>
        <v>60000</v>
      </c>
      <c r="H25" s="57">
        <f>SUM(Tabel134[[#This Row],[Inv.
(15)3]:[Maj.kulu
(55) 3]])</f>
        <v>0</v>
      </c>
      <c r="I25" s="58">
        <f>SUM(Tabel134[[#This Row],[Inv.
(15)4]:[Maj.kulu
(55) 4]])</f>
        <v>61000</v>
      </c>
      <c r="J25" s="52">
        <v>0</v>
      </c>
      <c r="K25" s="52">
        <v>0</v>
      </c>
      <c r="L25" s="59">
        <v>60000</v>
      </c>
      <c r="M25" s="60">
        <v>0</v>
      </c>
      <c r="N25" s="52">
        <v>0</v>
      </c>
      <c r="O25" s="59">
        <v>60000</v>
      </c>
      <c r="P25" s="60">
        <v>0</v>
      </c>
      <c r="Q25" s="52">
        <v>0</v>
      </c>
      <c r="R25" s="59">
        <v>0</v>
      </c>
      <c r="S25" s="60">
        <v>0</v>
      </c>
      <c r="T25" s="52">
        <v>0</v>
      </c>
      <c r="U25" s="52">
        <v>61000</v>
      </c>
    </row>
    <row r="26" spans="1:21" ht="29" x14ac:dyDescent="0.35">
      <c r="A26" s="44">
        <v>58</v>
      </c>
      <c r="B26" s="45" t="s">
        <v>27</v>
      </c>
      <c r="C26" s="46" t="s">
        <v>112</v>
      </c>
      <c r="D26" s="47" t="s">
        <v>237</v>
      </c>
      <c r="E26" s="56">
        <f>SUM(Tabel134[[#This Row],[2023]]+Tabel134[[#This Row],[2024 lisanduv]])</f>
        <v>268727.5</v>
      </c>
      <c r="F26" s="57">
        <f>SUM(Tabel134[[#This Row],[Inv.
(15)]:[Maj.kulu
(55) ]])</f>
        <v>111085.2</v>
      </c>
      <c r="G26" s="57">
        <f>SUM(Tabel134[[#This Row],[Inv.
(15)2]:[Maj.kulu
(55) 2]])</f>
        <v>-6576</v>
      </c>
      <c r="H26" s="57">
        <f>SUM(Tabel134[[#This Row],[Inv.
(15)3]:[Maj.kulu
(55) 3]])</f>
        <v>157642.29999999999</v>
      </c>
      <c r="I26" s="58">
        <f>SUM(Tabel134[[#This Row],[Inv.
(15)4]:[Maj.kulu
(55) 4]])</f>
        <v>150956.69999999998</v>
      </c>
      <c r="J26" s="52">
        <v>111085.2</v>
      </c>
      <c r="K26" s="52">
        <v>0</v>
      </c>
      <c r="L26" s="59">
        <v>0</v>
      </c>
      <c r="M26" s="60">
        <v>-6576</v>
      </c>
      <c r="N26" s="52">
        <v>0</v>
      </c>
      <c r="O26" s="59">
        <v>0</v>
      </c>
      <c r="P26" s="60">
        <v>157642.29999999999</v>
      </c>
      <c r="Q26" s="52">
        <v>0</v>
      </c>
      <c r="R26" s="59">
        <v>0</v>
      </c>
      <c r="S26" s="60">
        <v>150956.69999999998</v>
      </c>
      <c r="T26" s="52">
        <v>0</v>
      </c>
      <c r="U26" s="52">
        <v>0</v>
      </c>
    </row>
    <row r="27" spans="1:21" x14ac:dyDescent="0.35">
      <c r="A27" s="44">
        <v>59</v>
      </c>
      <c r="B27" s="45" t="s">
        <v>27</v>
      </c>
      <c r="C27" s="46" t="s">
        <v>112</v>
      </c>
      <c r="D27" s="47" t="s">
        <v>238</v>
      </c>
      <c r="E27" s="56">
        <f>SUM(Tabel134[[#This Row],[2023]]+Tabel134[[#This Row],[2024 lisanduv]])</f>
        <v>116042.68000000001</v>
      </c>
      <c r="F27" s="57">
        <f>SUM(Tabel134[[#This Row],[Inv.
(15)]:[Maj.kulu
(55) ]])</f>
        <v>86452.800000000003</v>
      </c>
      <c r="G27" s="57">
        <f>SUM(Tabel134[[#This Row],[Inv.
(15)2]:[Maj.kulu
(55) 2]])</f>
        <v>86452.800000000003</v>
      </c>
      <c r="H27" s="57">
        <f>SUM(Tabel134[[#This Row],[Inv.
(15)3]:[Maj.kulu
(55) 3]])</f>
        <v>29589.88</v>
      </c>
      <c r="I27" s="58">
        <f>SUM(Tabel134[[#This Row],[Inv.
(15)4]:[Maj.kulu
(55) 4]])</f>
        <v>117483.56</v>
      </c>
      <c r="J27" s="52">
        <v>86452.800000000003</v>
      </c>
      <c r="K27" s="52">
        <v>0</v>
      </c>
      <c r="L27" s="59">
        <v>0</v>
      </c>
      <c r="M27" s="60">
        <v>86452.800000000003</v>
      </c>
      <c r="N27" s="52">
        <v>0</v>
      </c>
      <c r="O27" s="59">
        <v>0</v>
      </c>
      <c r="P27" s="60">
        <v>29589.88</v>
      </c>
      <c r="Q27" s="52">
        <v>0</v>
      </c>
      <c r="R27" s="59">
        <v>0</v>
      </c>
      <c r="S27" s="60">
        <v>117483.56</v>
      </c>
      <c r="T27" s="52">
        <v>0</v>
      </c>
      <c r="U27" s="52">
        <v>0</v>
      </c>
    </row>
    <row r="28" spans="1:21" ht="29" x14ac:dyDescent="0.35">
      <c r="A28" s="44">
        <v>60</v>
      </c>
      <c r="B28" s="45" t="s">
        <v>27</v>
      </c>
      <c r="C28" s="46" t="s">
        <v>112</v>
      </c>
      <c r="D28" s="47" t="s">
        <v>239</v>
      </c>
      <c r="E28" s="56">
        <f>SUM(Tabel134[[#This Row],[2023]]+Tabel134[[#This Row],[2024 lisanduv]])</f>
        <v>152090.16</v>
      </c>
      <c r="F28" s="57">
        <f>SUM(Tabel134[[#This Row],[Inv.
(15)]:[Maj.kulu
(55) ]])</f>
        <v>113308.8</v>
      </c>
      <c r="G28" s="57">
        <f>SUM(Tabel134[[#This Row],[Inv.
(15)2]:[Maj.kulu
(55) 2]])</f>
        <v>113308.8</v>
      </c>
      <c r="H28" s="57">
        <f>SUM(Tabel134[[#This Row],[Inv.
(15)3]:[Maj.kulu
(55) 3]])</f>
        <v>38781.360000000001</v>
      </c>
      <c r="I28" s="58">
        <f>SUM(Tabel134[[#This Row],[Inv.
(15)4]:[Maj.kulu
(55) 4]])</f>
        <v>153978.63999999998</v>
      </c>
      <c r="J28" s="52">
        <v>113308.8</v>
      </c>
      <c r="K28" s="52">
        <v>0</v>
      </c>
      <c r="L28" s="59">
        <v>0</v>
      </c>
      <c r="M28" s="60">
        <v>113308.8</v>
      </c>
      <c r="N28" s="52">
        <v>0</v>
      </c>
      <c r="O28" s="59">
        <v>0</v>
      </c>
      <c r="P28" s="60">
        <v>38781.360000000001</v>
      </c>
      <c r="Q28" s="52">
        <v>0</v>
      </c>
      <c r="R28" s="59">
        <v>0</v>
      </c>
      <c r="S28" s="60">
        <v>153978.63999999998</v>
      </c>
      <c r="T28" s="52">
        <v>0</v>
      </c>
      <c r="U28" s="52">
        <v>0</v>
      </c>
    </row>
    <row r="29" spans="1:21" ht="29" x14ac:dyDescent="0.35">
      <c r="A29" s="44">
        <v>61</v>
      </c>
      <c r="B29" s="45" t="s">
        <v>27</v>
      </c>
      <c r="C29" s="46" t="s">
        <v>112</v>
      </c>
      <c r="D29" s="47" t="s">
        <v>240</v>
      </c>
      <c r="E29" s="56">
        <f>SUM(Tabel134[[#This Row],[2023]]+Tabel134[[#This Row],[2024 lisanduv]])</f>
        <v>77646.58</v>
      </c>
      <c r="F29" s="57">
        <f>SUM(Tabel134[[#This Row],[Inv.
(15)]:[Maj.kulu
(55) ]])</f>
        <v>57847.199999999997</v>
      </c>
      <c r="G29" s="57">
        <f>SUM(Tabel134[[#This Row],[Inv.
(15)2]:[Maj.kulu
(55) 2]])</f>
        <v>57847.199999999997</v>
      </c>
      <c r="H29" s="57">
        <f>SUM(Tabel134[[#This Row],[Inv.
(15)3]:[Maj.kulu
(55) 3]])</f>
        <v>19799.38</v>
      </c>
      <c r="I29" s="58">
        <f>SUM(Tabel134[[#This Row],[Inv.
(15)4]:[Maj.kulu
(55) 4]])</f>
        <v>78610.7</v>
      </c>
      <c r="J29" s="52">
        <v>57847.199999999997</v>
      </c>
      <c r="K29" s="52">
        <v>0</v>
      </c>
      <c r="L29" s="59">
        <v>0</v>
      </c>
      <c r="M29" s="60">
        <v>57847.199999999997</v>
      </c>
      <c r="N29" s="52">
        <v>0</v>
      </c>
      <c r="O29" s="59">
        <v>0</v>
      </c>
      <c r="P29" s="60">
        <v>19799.38</v>
      </c>
      <c r="Q29" s="52">
        <v>0</v>
      </c>
      <c r="R29" s="59">
        <v>0</v>
      </c>
      <c r="S29" s="60">
        <v>78610.7</v>
      </c>
      <c r="T29" s="52">
        <v>0</v>
      </c>
      <c r="U29" s="52">
        <v>0</v>
      </c>
    </row>
    <row r="30" spans="1:21" x14ac:dyDescent="0.35">
      <c r="A30" s="44">
        <v>62</v>
      </c>
      <c r="B30" s="45" t="s">
        <v>27</v>
      </c>
      <c r="C30" s="46" t="s">
        <v>112</v>
      </c>
      <c r="D30" s="47" t="s">
        <v>241</v>
      </c>
      <c r="E30" s="56">
        <f>SUM(Tabel134[[#This Row],[2023]]+Tabel134[[#This Row],[2024 lisanduv]])</f>
        <v>127900.23999999999</v>
      </c>
      <c r="F30" s="57">
        <f>SUM(Tabel134[[#This Row],[Inv.
(15)]:[Maj.kulu
(55) ]])</f>
        <v>95287.2</v>
      </c>
      <c r="G30" s="57">
        <f>SUM(Tabel134[[#This Row],[Inv.
(15)2]:[Maj.kulu
(55) 2]])</f>
        <v>95287.2</v>
      </c>
      <c r="H30" s="57">
        <f>SUM(Tabel134[[#This Row],[Inv.
(15)3]:[Maj.kulu
(55) 3]])</f>
        <v>32613.040000000001</v>
      </c>
      <c r="I30" s="58">
        <f>SUM(Tabel134[[#This Row],[Inv.
(15)4]:[Maj.kulu
(55) 4]])</f>
        <v>129488.36</v>
      </c>
      <c r="J30" s="52">
        <v>95287.2</v>
      </c>
      <c r="K30" s="52">
        <v>0</v>
      </c>
      <c r="L30" s="59">
        <v>0</v>
      </c>
      <c r="M30" s="60">
        <v>95287.2</v>
      </c>
      <c r="N30" s="52">
        <v>0</v>
      </c>
      <c r="O30" s="59">
        <v>0</v>
      </c>
      <c r="P30" s="60">
        <v>32613.040000000001</v>
      </c>
      <c r="Q30" s="52">
        <v>0</v>
      </c>
      <c r="R30" s="59">
        <v>0</v>
      </c>
      <c r="S30" s="60">
        <v>129488.36</v>
      </c>
      <c r="T30" s="52">
        <v>0</v>
      </c>
      <c r="U30" s="52">
        <v>0</v>
      </c>
    </row>
    <row r="31" spans="1:21" ht="29" x14ac:dyDescent="0.35">
      <c r="A31" s="44">
        <v>63</v>
      </c>
      <c r="B31" s="45" t="s">
        <v>27</v>
      </c>
      <c r="C31" s="46" t="s">
        <v>112</v>
      </c>
      <c r="D31" s="47" t="s">
        <v>242</v>
      </c>
      <c r="E31" s="56">
        <f>SUM(Tabel134[[#This Row],[2023]]+Tabel134[[#This Row],[2024 lisanduv]])</f>
        <v>86134.86</v>
      </c>
      <c r="F31" s="57">
        <f>SUM(Tabel134[[#This Row],[Inv.
(15)]:[Maj.kulu
(55) ]])</f>
        <v>64171.199999999997</v>
      </c>
      <c r="G31" s="57">
        <f>SUM(Tabel134[[#This Row],[Inv.
(15)2]:[Maj.kulu
(55) 2]])</f>
        <v>64171.199999999997</v>
      </c>
      <c r="H31" s="57">
        <f>SUM(Tabel134[[#This Row],[Inv.
(15)3]:[Maj.kulu
(55) 3]])</f>
        <v>21963.66</v>
      </c>
      <c r="I31" s="58">
        <f>SUM(Tabel134[[#This Row],[Inv.
(15)4]:[Maj.kulu
(55) 4]])</f>
        <v>87204.38</v>
      </c>
      <c r="J31" s="52">
        <v>64171.199999999997</v>
      </c>
      <c r="K31" s="52">
        <v>0</v>
      </c>
      <c r="L31" s="59">
        <v>0</v>
      </c>
      <c r="M31" s="60">
        <v>64171.199999999997</v>
      </c>
      <c r="N31" s="52">
        <v>0</v>
      </c>
      <c r="O31" s="59">
        <v>0</v>
      </c>
      <c r="P31" s="60">
        <v>21963.66</v>
      </c>
      <c r="Q31" s="52">
        <v>0</v>
      </c>
      <c r="R31" s="59">
        <v>0</v>
      </c>
      <c r="S31" s="60">
        <v>87204.38</v>
      </c>
      <c r="T31" s="52">
        <v>0</v>
      </c>
      <c r="U31" s="52">
        <v>0</v>
      </c>
    </row>
    <row r="32" spans="1:21" ht="29" x14ac:dyDescent="0.35">
      <c r="A32" s="44">
        <v>64</v>
      </c>
      <c r="B32" s="45" t="s">
        <v>27</v>
      </c>
      <c r="C32" s="46" t="s">
        <v>112</v>
      </c>
      <c r="D32" s="47" t="s">
        <v>243</v>
      </c>
      <c r="E32" s="56">
        <f>SUM(Tabel134[[#This Row],[2023]]+Tabel134[[#This Row],[2024 lisanduv]])</f>
        <v>153225.29999999999</v>
      </c>
      <c r="F32" s="57">
        <f>SUM(Tabel134[[#This Row],[Inv.
(15)]:[Maj.kulu
(55) ]])</f>
        <v>114154.8</v>
      </c>
      <c r="G32" s="57">
        <f>SUM(Tabel134[[#This Row],[Inv.
(15)2]:[Maj.kulu
(55) 2]])</f>
        <v>114154.8</v>
      </c>
      <c r="H32" s="57">
        <f>SUM(Tabel134[[#This Row],[Inv.
(15)3]:[Maj.kulu
(55) 3]])</f>
        <v>39070.5</v>
      </c>
      <c r="I32" s="58">
        <f>SUM(Tabel134[[#This Row],[Inv.
(15)4]:[Maj.kulu
(55) 4]])</f>
        <v>155127.88</v>
      </c>
      <c r="J32" s="52">
        <v>114154.8</v>
      </c>
      <c r="K32" s="52">
        <v>0</v>
      </c>
      <c r="L32" s="59">
        <v>0</v>
      </c>
      <c r="M32" s="60">
        <v>114154.8</v>
      </c>
      <c r="N32" s="52">
        <v>0</v>
      </c>
      <c r="O32" s="59">
        <v>0</v>
      </c>
      <c r="P32" s="60">
        <v>39070.5</v>
      </c>
      <c r="Q32" s="52">
        <v>0</v>
      </c>
      <c r="R32" s="59">
        <v>0</v>
      </c>
      <c r="S32" s="60">
        <v>155127.88</v>
      </c>
      <c r="T32" s="52">
        <v>0</v>
      </c>
      <c r="U32" s="52">
        <v>0</v>
      </c>
    </row>
    <row r="33" spans="1:21" ht="29" x14ac:dyDescent="0.35">
      <c r="A33" s="44">
        <v>65</v>
      </c>
      <c r="B33" s="45" t="s">
        <v>27</v>
      </c>
      <c r="C33" s="46" t="s">
        <v>112</v>
      </c>
      <c r="D33" s="47" t="s">
        <v>244</v>
      </c>
      <c r="E33" s="56">
        <f>SUM(Tabel134[[#This Row],[2023]]+Tabel134[[#This Row],[2024 lisanduv]])</f>
        <v>97904.459999999992</v>
      </c>
      <c r="F33" s="57">
        <f>SUM(Tabel134[[#This Row],[Inv.
(15)]:[Maj.kulu
(55) ]])</f>
        <v>72939.599999999991</v>
      </c>
      <c r="G33" s="57">
        <f>SUM(Tabel134[[#This Row],[Inv.
(15)2]:[Maj.kulu
(55) 2]])</f>
        <v>72939.599999999991</v>
      </c>
      <c r="H33" s="57">
        <f>SUM(Tabel134[[#This Row],[Inv.
(15)3]:[Maj.kulu
(55) 3]])</f>
        <v>24964.86</v>
      </c>
      <c r="I33" s="58">
        <f>SUM(Tabel134[[#This Row],[Inv.
(15)4]:[Maj.kulu
(55) 4]])</f>
        <v>99120.12</v>
      </c>
      <c r="J33" s="52">
        <v>72939.599999999991</v>
      </c>
      <c r="K33" s="52">
        <v>0</v>
      </c>
      <c r="L33" s="59">
        <v>0</v>
      </c>
      <c r="M33" s="60">
        <v>72939.599999999991</v>
      </c>
      <c r="N33" s="52">
        <v>0</v>
      </c>
      <c r="O33" s="59">
        <v>0</v>
      </c>
      <c r="P33" s="60">
        <v>24964.86</v>
      </c>
      <c r="Q33" s="52">
        <v>0</v>
      </c>
      <c r="R33" s="59">
        <v>0</v>
      </c>
      <c r="S33" s="60">
        <v>99120.12</v>
      </c>
      <c r="T33" s="52">
        <v>0</v>
      </c>
      <c r="U33" s="52">
        <v>0</v>
      </c>
    </row>
    <row r="34" spans="1:21" x14ac:dyDescent="0.35">
      <c r="A34" s="44">
        <v>66</v>
      </c>
      <c r="B34" s="45" t="s">
        <v>27</v>
      </c>
      <c r="C34" s="46" t="s">
        <v>112</v>
      </c>
      <c r="D34" s="47" t="s">
        <v>117</v>
      </c>
      <c r="E34" s="56">
        <f>SUM(Tabel134[[#This Row],[2023]]+Tabel134[[#This Row],[2024 lisanduv]])</f>
        <v>50000</v>
      </c>
      <c r="F34" s="57">
        <f>SUM(Tabel134[[#This Row],[Inv.
(15)]:[Maj.kulu
(55) ]])</f>
        <v>54189</v>
      </c>
      <c r="G34" s="57">
        <f>SUM(Tabel134[[#This Row],[Inv.
(15)2]:[Maj.kulu
(55) 2]])</f>
        <v>54189</v>
      </c>
      <c r="H34" s="57">
        <f>SUM(Tabel134[[#This Row],[Inv.
(15)3]:[Maj.kulu
(55) 3]])</f>
        <v>-4189</v>
      </c>
      <c r="I34" s="58">
        <f>SUM(Tabel134[[#This Row],[Inv.
(15)4]:[Maj.kulu
(55) 4]])</f>
        <v>50000</v>
      </c>
      <c r="J34" s="52">
        <v>0</v>
      </c>
      <c r="K34" s="52">
        <v>54189</v>
      </c>
      <c r="L34" s="59">
        <v>0</v>
      </c>
      <c r="M34" s="60">
        <v>0</v>
      </c>
      <c r="N34" s="52">
        <v>54189</v>
      </c>
      <c r="O34" s="59">
        <v>0</v>
      </c>
      <c r="P34" s="60">
        <v>0</v>
      </c>
      <c r="Q34" s="52">
        <v>-4189</v>
      </c>
      <c r="R34" s="59">
        <v>0</v>
      </c>
      <c r="S34" s="60">
        <v>0</v>
      </c>
      <c r="T34" s="52">
        <v>50000</v>
      </c>
      <c r="U34" s="52">
        <v>0</v>
      </c>
    </row>
    <row r="35" spans="1:21" x14ac:dyDescent="0.35">
      <c r="A35" s="44">
        <v>67</v>
      </c>
      <c r="B35" s="45" t="s">
        <v>27</v>
      </c>
      <c r="C35" s="46" t="s">
        <v>112</v>
      </c>
      <c r="D35" s="47" t="s">
        <v>119</v>
      </c>
      <c r="E35" s="56">
        <f>SUM(Tabel134[[#This Row],[2023]]+Tabel134[[#This Row],[2024 lisanduv]])</f>
        <v>60000</v>
      </c>
      <c r="F35" s="57">
        <f>SUM(Tabel134[[#This Row],[Inv.
(15)]:[Maj.kulu
(55) ]])</f>
        <v>45158</v>
      </c>
      <c r="G35" s="57">
        <f>SUM(Tabel134[[#This Row],[Inv.
(15)2]:[Maj.kulu
(55) 2]])</f>
        <v>45158</v>
      </c>
      <c r="H35" s="57">
        <f>SUM(Tabel134[[#This Row],[Inv.
(15)3]:[Maj.kulu
(55) 3]])</f>
        <v>14842</v>
      </c>
      <c r="I35" s="58">
        <f>SUM(Tabel134[[#This Row],[Inv.
(15)4]:[Maj.kulu
(55) 4]])</f>
        <v>60000</v>
      </c>
      <c r="J35" s="52">
        <v>0</v>
      </c>
      <c r="K35" s="52">
        <v>45158</v>
      </c>
      <c r="L35" s="59">
        <v>0</v>
      </c>
      <c r="M35" s="60">
        <v>0</v>
      </c>
      <c r="N35" s="52">
        <v>45158</v>
      </c>
      <c r="O35" s="59">
        <v>0</v>
      </c>
      <c r="P35" s="60">
        <v>0</v>
      </c>
      <c r="Q35" s="52">
        <v>14842</v>
      </c>
      <c r="R35" s="59">
        <v>0</v>
      </c>
      <c r="S35" s="60">
        <v>0</v>
      </c>
      <c r="T35" s="52">
        <v>60000</v>
      </c>
      <c r="U35" s="52">
        <v>0</v>
      </c>
    </row>
    <row r="36" spans="1:21" ht="29" x14ac:dyDescent="0.35">
      <c r="A36" s="44">
        <v>68</v>
      </c>
      <c r="B36" s="45" t="s">
        <v>109</v>
      </c>
      <c r="C36" s="46" t="s">
        <v>106</v>
      </c>
      <c r="D36" s="47" t="s">
        <v>108</v>
      </c>
      <c r="E36" s="56">
        <f>SUM(Tabel134[[#This Row],[2023]]+Tabel134[[#This Row],[2024 lisanduv]])</f>
        <v>104920</v>
      </c>
      <c r="F36" s="57">
        <f>SUM(Tabel134[[#This Row],[Inv.
(15)]:[Maj.kulu
(55) ]])</f>
        <v>0</v>
      </c>
      <c r="G36" s="57">
        <f>SUM(Tabel134[[#This Row],[Inv.
(15)2]:[Maj.kulu
(55) 2]])</f>
        <v>0</v>
      </c>
      <c r="H36" s="57">
        <f>SUM(Tabel134[[#This Row],[Inv.
(15)3]:[Maj.kulu
(55) 3]])</f>
        <v>104920</v>
      </c>
      <c r="I36" s="58">
        <f>SUM(Tabel134[[#This Row],[Inv.
(15)4]:[Maj.kulu
(55) 4]])</f>
        <v>104920</v>
      </c>
      <c r="J36" s="52">
        <v>0</v>
      </c>
      <c r="K36" s="52">
        <v>0</v>
      </c>
      <c r="L36" s="59">
        <v>0</v>
      </c>
      <c r="M36" s="60">
        <v>0</v>
      </c>
      <c r="N36" s="52">
        <v>0</v>
      </c>
      <c r="O36" s="59">
        <v>0</v>
      </c>
      <c r="P36" s="60">
        <v>104920</v>
      </c>
      <c r="Q36" s="52">
        <v>0</v>
      </c>
      <c r="R36" s="59">
        <v>0</v>
      </c>
      <c r="S36" s="60">
        <v>104920</v>
      </c>
      <c r="T36" s="52">
        <v>0</v>
      </c>
      <c r="U36" s="52">
        <v>0</v>
      </c>
    </row>
    <row r="37" spans="1:21" ht="29" x14ac:dyDescent="0.35">
      <c r="A37" s="44">
        <v>69</v>
      </c>
      <c r="B37" s="45" t="s">
        <v>245</v>
      </c>
      <c r="C37" s="46" t="s">
        <v>106</v>
      </c>
      <c r="D37" s="47" t="s">
        <v>246</v>
      </c>
      <c r="E37" s="56">
        <f>SUM(Tabel134[[#This Row],[2023]]+Tabel134[[#This Row],[2024 lisanduv]])</f>
        <v>237412</v>
      </c>
      <c r="F37" s="57">
        <f>SUM(Tabel134[[#This Row],[Inv.
(15)]:[Maj.kulu
(55) ]])</f>
        <v>0</v>
      </c>
      <c r="G37" s="57">
        <f>SUM(Tabel134[[#This Row],[Inv.
(15)2]:[Maj.kulu
(55) 2]])</f>
        <v>0</v>
      </c>
      <c r="H37" s="57">
        <f>SUM(Tabel134[[#This Row],[Inv.
(15)3]:[Maj.kulu
(55) 3]])</f>
        <v>237412</v>
      </c>
      <c r="I37" s="58">
        <f>SUM(Tabel134[[#This Row],[Inv.
(15)4]:[Maj.kulu
(55) 4]])</f>
        <v>237412</v>
      </c>
      <c r="J37" s="52">
        <v>0</v>
      </c>
      <c r="K37" s="52">
        <v>0</v>
      </c>
      <c r="L37" s="59">
        <v>0</v>
      </c>
      <c r="M37" s="60">
        <v>0</v>
      </c>
      <c r="N37" s="52">
        <v>0</v>
      </c>
      <c r="O37" s="59">
        <v>0</v>
      </c>
      <c r="P37" s="60">
        <v>237412</v>
      </c>
      <c r="Q37" s="52">
        <v>0</v>
      </c>
      <c r="R37" s="59">
        <v>0</v>
      </c>
      <c r="S37" s="60">
        <v>237412</v>
      </c>
      <c r="T37" s="52">
        <v>0</v>
      </c>
      <c r="U37" s="52">
        <v>0</v>
      </c>
    </row>
    <row r="38" spans="1:21" ht="29" x14ac:dyDescent="0.35">
      <c r="A38" s="44">
        <v>70</v>
      </c>
      <c r="B38" s="45" t="s">
        <v>247</v>
      </c>
      <c r="C38" s="46" t="s">
        <v>106</v>
      </c>
      <c r="D38" s="47" t="s">
        <v>248</v>
      </c>
      <c r="E38" s="56">
        <f>SUM(Tabel134[[#This Row],[2023]]+Tabel134[[#This Row],[2024 lisanduv]])</f>
        <v>183000</v>
      </c>
      <c r="F38" s="57">
        <f>SUM(Tabel134[[#This Row],[Inv.
(15)]:[Maj.kulu
(55) ]])</f>
        <v>0</v>
      </c>
      <c r="G38" s="57">
        <f>SUM(Tabel134[[#This Row],[Inv.
(15)2]:[Maj.kulu
(55) 2]])</f>
        <v>0</v>
      </c>
      <c r="H38" s="57">
        <f>SUM(Tabel134[[#This Row],[Inv.
(15)3]:[Maj.kulu
(55) 3]])</f>
        <v>183000</v>
      </c>
      <c r="I38" s="58">
        <f>SUM(Tabel134[[#This Row],[Inv.
(15)4]:[Maj.kulu
(55) 4]])</f>
        <v>183000</v>
      </c>
      <c r="J38" s="52">
        <v>0</v>
      </c>
      <c r="K38" s="52">
        <v>0</v>
      </c>
      <c r="L38" s="59">
        <v>0</v>
      </c>
      <c r="M38" s="60">
        <v>0</v>
      </c>
      <c r="N38" s="52">
        <v>0</v>
      </c>
      <c r="O38" s="59">
        <v>0</v>
      </c>
      <c r="P38" s="60">
        <v>183000</v>
      </c>
      <c r="Q38" s="52">
        <v>0</v>
      </c>
      <c r="R38" s="59">
        <v>0</v>
      </c>
      <c r="S38" s="60">
        <v>183000</v>
      </c>
      <c r="T38" s="52">
        <v>0</v>
      </c>
      <c r="U38" s="52">
        <v>0</v>
      </c>
    </row>
    <row r="39" spans="1:21" ht="29" x14ac:dyDescent="0.35">
      <c r="A39" s="44">
        <v>71</v>
      </c>
      <c r="B39" s="45" t="s">
        <v>18</v>
      </c>
      <c r="C39" s="46" t="s">
        <v>106</v>
      </c>
      <c r="D39" s="47" t="s">
        <v>249</v>
      </c>
      <c r="E39" s="56">
        <f>SUM(Tabel134[[#This Row],[2023]]+Tabel134[[#This Row],[2024 lisanduv]])</f>
        <v>61000</v>
      </c>
      <c r="F39" s="57">
        <f>SUM(Tabel134[[#This Row],[Inv.
(15)]:[Maj.kulu
(55) ]])</f>
        <v>0</v>
      </c>
      <c r="G39" s="57">
        <f>SUM(Tabel134[[#This Row],[Inv.
(15)2]:[Maj.kulu
(55) 2]])</f>
        <v>0</v>
      </c>
      <c r="H39" s="57">
        <f>SUM(Tabel134[[#This Row],[Inv.
(15)3]:[Maj.kulu
(55) 3]])</f>
        <v>61000</v>
      </c>
      <c r="I39" s="58">
        <f>SUM(Tabel134[[#This Row],[Inv.
(15)4]:[Maj.kulu
(55) 4]])</f>
        <v>61000</v>
      </c>
      <c r="J39" s="52">
        <v>0</v>
      </c>
      <c r="K39" s="52">
        <v>0</v>
      </c>
      <c r="L39" s="59">
        <v>0</v>
      </c>
      <c r="M39" s="60">
        <v>0</v>
      </c>
      <c r="N39" s="52">
        <v>0</v>
      </c>
      <c r="O39" s="59">
        <v>0</v>
      </c>
      <c r="P39" s="60">
        <v>61000</v>
      </c>
      <c r="Q39" s="52">
        <v>0</v>
      </c>
      <c r="R39" s="59">
        <v>0</v>
      </c>
      <c r="S39" s="60">
        <v>61000</v>
      </c>
      <c r="T39" s="52">
        <v>0</v>
      </c>
      <c r="U39" s="52">
        <v>0</v>
      </c>
    </row>
    <row r="40" spans="1:21" ht="29" x14ac:dyDescent="0.35">
      <c r="A40" s="44">
        <v>72</v>
      </c>
      <c r="B40" s="45" t="s">
        <v>250</v>
      </c>
      <c r="C40" s="46" t="s">
        <v>106</v>
      </c>
      <c r="D40" s="47" t="s">
        <v>251</v>
      </c>
      <c r="E40" s="56">
        <f>SUM(Tabel134[[#This Row],[2023]]+Tabel134[[#This Row],[2024 lisanduv]])</f>
        <v>610000</v>
      </c>
      <c r="F40" s="57">
        <f>SUM(Tabel134[[#This Row],[Inv.
(15)]:[Maj.kulu
(55) ]])</f>
        <v>0</v>
      </c>
      <c r="G40" s="57">
        <f>SUM(Tabel134[[#This Row],[Inv.
(15)2]:[Maj.kulu
(55) 2]])</f>
        <v>0</v>
      </c>
      <c r="H40" s="57">
        <f>SUM(Tabel134[[#This Row],[Inv.
(15)3]:[Maj.kulu
(55) 3]])</f>
        <v>610000</v>
      </c>
      <c r="I40" s="58">
        <f>SUM(Tabel134[[#This Row],[Inv.
(15)4]:[Maj.kulu
(55) 4]])</f>
        <v>610000</v>
      </c>
      <c r="J40" s="52">
        <v>0</v>
      </c>
      <c r="K40" s="52">
        <v>0</v>
      </c>
      <c r="L40" s="59">
        <v>0</v>
      </c>
      <c r="M40" s="60">
        <v>0</v>
      </c>
      <c r="N40" s="52">
        <v>0</v>
      </c>
      <c r="O40" s="59">
        <v>0</v>
      </c>
      <c r="P40" s="60">
        <v>610000</v>
      </c>
      <c r="Q40" s="52">
        <v>0</v>
      </c>
      <c r="R40" s="59">
        <v>0</v>
      </c>
      <c r="S40" s="60">
        <v>610000</v>
      </c>
      <c r="T40" s="52">
        <v>0</v>
      </c>
      <c r="U40" s="52">
        <v>0</v>
      </c>
    </row>
    <row r="41" spans="1:21" ht="29" x14ac:dyDescent="0.35">
      <c r="A41" s="44">
        <v>73</v>
      </c>
      <c r="B41" s="45" t="s">
        <v>250</v>
      </c>
      <c r="C41" s="46" t="s">
        <v>106</v>
      </c>
      <c r="D41" s="47" t="s">
        <v>252</v>
      </c>
      <c r="E41" s="56">
        <f>SUM(Tabel134[[#This Row],[2023]]+Tabel134[[#This Row],[2024 lisanduv]])</f>
        <v>61000</v>
      </c>
      <c r="F41" s="57">
        <f>SUM(Tabel134[[#This Row],[Inv.
(15)]:[Maj.kulu
(55) ]])</f>
        <v>0</v>
      </c>
      <c r="G41" s="57">
        <f>SUM(Tabel134[[#This Row],[Inv.
(15)2]:[Maj.kulu
(55) 2]])</f>
        <v>0</v>
      </c>
      <c r="H41" s="57">
        <f>SUM(Tabel134[[#This Row],[Inv.
(15)3]:[Maj.kulu
(55) 3]])</f>
        <v>61000</v>
      </c>
      <c r="I41" s="58">
        <f>SUM(Tabel134[[#This Row],[Inv.
(15)4]:[Maj.kulu
(55) 4]])</f>
        <v>61000</v>
      </c>
      <c r="J41" s="52">
        <v>0</v>
      </c>
      <c r="K41" s="52">
        <v>0</v>
      </c>
      <c r="L41" s="59">
        <v>0</v>
      </c>
      <c r="M41" s="60">
        <v>0</v>
      </c>
      <c r="N41" s="52">
        <v>0</v>
      </c>
      <c r="O41" s="59">
        <v>0</v>
      </c>
      <c r="P41" s="60">
        <v>61000</v>
      </c>
      <c r="Q41" s="52">
        <v>0</v>
      </c>
      <c r="R41" s="59">
        <v>0</v>
      </c>
      <c r="S41" s="60">
        <v>61000</v>
      </c>
      <c r="T41" s="52">
        <v>0</v>
      </c>
      <c r="U41" s="52">
        <v>0</v>
      </c>
    </row>
    <row r="42" spans="1:21" ht="29" x14ac:dyDescent="0.35">
      <c r="A42" s="44">
        <v>74</v>
      </c>
      <c r="B42" s="45" t="s">
        <v>253</v>
      </c>
      <c r="C42" s="46" t="s">
        <v>106</v>
      </c>
      <c r="D42" s="61" t="s">
        <v>254</v>
      </c>
      <c r="E42" s="62">
        <f>SUM(Tabel134[[#This Row],[2023]]+Tabel134[[#This Row],[2024 lisanduv]])</f>
        <v>366000</v>
      </c>
      <c r="F42" s="63">
        <f>SUM(Tabel134[[#This Row],[Inv.
(15)]:[Maj.kulu
(55) ]])</f>
        <v>0</v>
      </c>
      <c r="G42" s="63">
        <f>SUM(Tabel134[[#This Row],[Inv.
(15)2]:[Maj.kulu
(55) 2]])</f>
        <v>0</v>
      </c>
      <c r="H42" s="63">
        <f>SUM(Tabel134[[#This Row],[Inv.
(15)3]:[Maj.kulu
(55) 3]])</f>
        <v>366000</v>
      </c>
      <c r="I42" s="64">
        <f>SUM(Tabel134[[#This Row],[Inv.
(15)4]:[Maj.kulu
(55) 4]])</f>
        <v>366000</v>
      </c>
      <c r="J42" s="65">
        <v>0</v>
      </c>
      <c r="K42" s="65">
        <v>0</v>
      </c>
      <c r="L42" s="66">
        <v>0</v>
      </c>
      <c r="M42" s="67">
        <v>0</v>
      </c>
      <c r="N42" s="65">
        <v>0</v>
      </c>
      <c r="O42" s="66">
        <v>0</v>
      </c>
      <c r="P42" s="67">
        <v>366000</v>
      </c>
      <c r="Q42" s="65">
        <v>0</v>
      </c>
      <c r="R42" s="66">
        <v>0</v>
      </c>
      <c r="S42" s="67">
        <v>366000</v>
      </c>
      <c r="T42" s="65">
        <v>0</v>
      </c>
      <c r="U42" s="65">
        <v>0</v>
      </c>
    </row>
    <row r="43" spans="1:21" ht="29" x14ac:dyDescent="0.35">
      <c r="A43" s="44">
        <v>75</v>
      </c>
      <c r="B43" s="45" t="s">
        <v>107</v>
      </c>
      <c r="C43" s="46" t="s">
        <v>106</v>
      </c>
      <c r="D43" s="47" t="s">
        <v>108</v>
      </c>
      <c r="E43" s="56">
        <f>SUM(Tabel134[[#This Row],[2023]]+Tabel134[[#This Row],[2024 lisanduv]])</f>
        <v>201300</v>
      </c>
      <c r="F43" s="57">
        <f>SUM(Tabel134[[#This Row],[Inv.
(15)]:[Maj.kulu
(55) ]])</f>
        <v>0</v>
      </c>
      <c r="G43" s="57">
        <f>SUM(Tabel134[[#This Row],[Inv.
(15)2]:[Maj.kulu
(55) 2]])</f>
        <v>0</v>
      </c>
      <c r="H43" s="57">
        <f>SUM(Tabel134[[#This Row],[Inv.
(15)3]:[Maj.kulu
(55) 3]])</f>
        <v>201300</v>
      </c>
      <c r="I43" s="58">
        <f>SUM(Tabel134[[#This Row],[Inv.
(15)4]:[Maj.kulu
(55) 4]])</f>
        <v>201300</v>
      </c>
      <c r="J43" s="52">
        <v>0</v>
      </c>
      <c r="K43" s="52">
        <v>0</v>
      </c>
      <c r="L43" s="59">
        <v>0</v>
      </c>
      <c r="M43" s="60">
        <v>0</v>
      </c>
      <c r="N43" s="52">
        <v>0</v>
      </c>
      <c r="O43" s="59">
        <v>0</v>
      </c>
      <c r="P43" s="60">
        <v>201300</v>
      </c>
      <c r="Q43" s="52">
        <v>0</v>
      </c>
      <c r="R43" s="59">
        <v>0</v>
      </c>
      <c r="S43" s="60">
        <v>201300</v>
      </c>
      <c r="T43" s="52">
        <v>0</v>
      </c>
      <c r="U43" s="52">
        <v>0</v>
      </c>
    </row>
    <row r="44" spans="1:21" ht="29" x14ac:dyDescent="0.35">
      <c r="A44" s="44">
        <v>76</v>
      </c>
      <c r="B44" s="45" t="s">
        <v>27</v>
      </c>
      <c r="C44" s="46" t="s">
        <v>122</v>
      </c>
      <c r="D44" s="47" t="s">
        <v>129</v>
      </c>
      <c r="E44" s="56">
        <f>SUM(Tabel134[[#This Row],[2023]]+Tabel134[[#This Row],[2024 lisanduv]])</f>
        <v>550300</v>
      </c>
      <c r="F44" s="57">
        <f>SUM(Tabel134[[#This Row],[Inv.
(15)]:[Maj.kulu
(55) ]])</f>
        <v>105000</v>
      </c>
      <c r="G44" s="57">
        <f>SUM(Tabel134[[#This Row],[Inv.
(15)2]:[Maj.kulu
(55) 2]])</f>
        <v>105000</v>
      </c>
      <c r="H44" s="57">
        <f>SUM(Tabel134[[#This Row],[Inv.
(15)3]:[Maj.kulu
(55) 3]])</f>
        <v>445300</v>
      </c>
      <c r="I44" s="58">
        <f>SUM(Tabel134[[#This Row],[Inv.
(15)4]:[Maj.kulu
(55) 4]])</f>
        <v>552050</v>
      </c>
      <c r="J44" s="52">
        <v>105000</v>
      </c>
      <c r="K44" s="52">
        <v>0</v>
      </c>
      <c r="L44" s="59">
        <v>0</v>
      </c>
      <c r="M44" s="60">
        <v>105000</v>
      </c>
      <c r="N44" s="52">
        <v>0</v>
      </c>
      <c r="O44" s="59">
        <v>0</v>
      </c>
      <c r="P44" s="60">
        <v>445300</v>
      </c>
      <c r="Q44" s="52">
        <v>0</v>
      </c>
      <c r="R44" s="59">
        <v>0</v>
      </c>
      <c r="S44" s="60">
        <v>552050</v>
      </c>
      <c r="T44" s="52">
        <v>0</v>
      </c>
      <c r="U44" s="52">
        <v>0</v>
      </c>
    </row>
    <row r="45" spans="1:21" x14ac:dyDescent="0.35">
      <c r="A45" s="44">
        <v>77</v>
      </c>
      <c r="B45" s="45" t="s">
        <v>27</v>
      </c>
      <c r="C45" s="46" t="s">
        <v>122</v>
      </c>
      <c r="D45" s="47" t="s">
        <v>130</v>
      </c>
      <c r="E45" s="56">
        <f>SUM(Tabel134[[#This Row],[2023]]+Tabel134[[#This Row],[2024 lisanduv]])</f>
        <v>50000</v>
      </c>
      <c r="F45" s="57">
        <f>SUM(Tabel134[[#This Row],[Inv.
(15)]:[Maj.kulu
(55) ]])</f>
        <v>52300</v>
      </c>
      <c r="G45" s="57">
        <f>SUM(Tabel134[[#This Row],[Inv.
(15)2]:[Maj.kulu
(55) 2]])</f>
        <v>52300</v>
      </c>
      <c r="H45" s="57">
        <f>SUM(Tabel134[[#This Row],[Inv.
(15)3]:[Maj.kulu
(55) 3]])</f>
        <v>-2300</v>
      </c>
      <c r="I45" s="58">
        <f>SUM(Tabel134[[#This Row],[Inv.
(15)4]:[Maj.kulu
(55) 4]])</f>
        <v>50000</v>
      </c>
      <c r="J45" s="52">
        <v>0</v>
      </c>
      <c r="K45" s="52">
        <v>52300</v>
      </c>
      <c r="L45" s="59">
        <v>0</v>
      </c>
      <c r="M45" s="60">
        <v>0</v>
      </c>
      <c r="N45" s="52">
        <v>52300</v>
      </c>
      <c r="O45" s="59">
        <v>0</v>
      </c>
      <c r="P45" s="60">
        <v>0</v>
      </c>
      <c r="Q45" s="52">
        <v>-2300</v>
      </c>
      <c r="R45" s="59">
        <v>0</v>
      </c>
      <c r="S45" s="60">
        <v>0</v>
      </c>
      <c r="T45" s="52">
        <v>50000</v>
      </c>
      <c r="U45" s="52">
        <v>0</v>
      </c>
    </row>
    <row r="46" spans="1:21" ht="29" x14ac:dyDescent="0.35">
      <c r="A46" s="44">
        <v>78</v>
      </c>
      <c r="B46" s="45" t="s">
        <v>27</v>
      </c>
      <c r="C46" s="46" t="s">
        <v>122</v>
      </c>
      <c r="D46" s="47" t="s">
        <v>128</v>
      </c>
      <c r="E46" s="56">
        <f>SUM(Tabel134[[#This Row],[2023]]+Tabel134[[#This Row],[2024 lisanduv]])</f>
        <v>458968</v>
      </c>
      <c r="F46" s="57">
        <f>SUM(Tabel134[[#This Row],[Inv.
(15)]:[Maj.kulu
(55) ]])</f>
        <v>190080</v>
      </c>
      <c r="G46" s="57">
        <f>SUM(Tabel134[[#This Row],[Inv.
(15)2]:[Maj.kulu
(55) 2]])</f>
        <v>190080</v>
      </c>
      <c r="H46" s="57">
        <f>SUM(Tabel134[[#This Row],[Inv.
(15)3]:[Maj.kulu
(55) 3]])</f>
        <v>268888</v>
      </c>
      <c r="I46" s="58">
        <f>SUM(Tabel134[[#This Row],[Inv.
(15)4]:[Maj.kulu
(55) 4]])</f>
        <v>462136</v>
      </c>
      <c r="J46" s="52">
        <v>190080</v>
      </c>
      <c r="K46" s="52">
        <v>0</v>
      </c>
      <c r="L46" s="59">
        <v>0</v>
      </c>
      <c r="M46" s="60">
        <v>190080</v>
      </c>
      <c r="N46" s="52">
        <v>0</v>
      </c>
      <c r="O46" s="59">
        <v>0</v>
      </c>
      <c r="P46" s="60">
        <v>268888</v>
      </c>
      <c r="Q46" s="52">
        <v>0</v>
      </c>
      <c r="R46" s="59">
        <v>0</v>
      </c>
      <c r="S46" s="60">
        <v>462136</v>
      </c>
      <c r="T46" s="52">
        <v>0</v>
      </c>
      <c r="U46" s="52">
        <v>0</v>
      </c>
    </row>
    <row r="47" spans="1:21" x14ac:dyDescent="0.35">
      <c r="A47" s="44">
        <v>79</v>
      </c>
      <c r="B47" s="45" t="s">
        <v>27</v>
      </c>
      <c r="C47" s="46" t="s">
        <v>122</v>
      </c>
      <c r="D47" s="47" t="s">
        <v>133</v>
      </c>
      <c r="E47" s="56">
        <f>SUM(Tabel134[[#This Row],[2023]]+Tabel134[[#This Row],[2024 lisanduv]])</f>
        <v>507060.45999999996</v>
      </c>
      <c r="F47" s="57">
        <f>SUM(Tabel134[[#This Row],[Inv.
(15)]:[Maj.kulu
(55) ]])</f>
        <v>60000</v>
      </c>
      <c r="G47" s="57">
        <f>SUM(Tabel134[[#This Row],[Inv.
(15)2]:[Maj.kulu
(55) 2]])</f>
        <v>-59731.199999999997</v>
      </c>
      <c r="H47" s="57">
        <f>SUM(Tabel134[[#This Row],[Inv.
(15)3]:[Maj.kulu
(55) 3]])</f>
        <v>447060.45999999996</v>
      </c>
      <c r="I47" s="58">
        <f>SUM(Tabel134[[#This Row],[Inv.
(15)4]:[Maj.kulu
(55) 4]])</f>
        <v>386333.74</v>
      </c>
      <c r="J47" s="52">
        <v>60000</v>
      </c>
      <c r="K47" s="52">
        <v>0</v>
      </c>
      <c r="L47" s="59">
        <v>0</v>
      </c>
      <c r="M47" s="60">
        <v>-59731.199999999997</v>
      </c>
      <c r="N47" s="52">
        <v>0</v>
      </c>
      <c r="O47" s="59">
        <v>0</v>
      </c>
      <c r="P47" s="60">
        <v>447060.45999999996</v>
      </c>
      <c r="Q47" s="52">
        <v>0</v>
      </c>
      <c r="R47" s="59">
        <v>0</v>
      </c>
      <c r="S47" s="60">
        <v>386333.74</v>
      </c>
      <c r="T47" s="52">
        <v>0</v>
      </c>
      <c r="U47" s="52">
        <v>0</v>
      </c>
    </row>
    <row r="48" spans="1:21" x14ac:dyDescent="0.35">
      <c r="A48" s="44">
        <v>80</v>
      </c>
      <c r="B48" s="45" t="s">
        <v>27</v>
      </c>
      <c r="C48" s="46" t="s">
        <v>122</v>
      </c>
      <c r="D48" s="47" t="s">
        <v>135</v>
      </c>
      <c r="E48" s="56">
        <f>SUM(Tabel134[[#This Row],[2023]]+Tabel134[[#This Row],[2024 lisanduv]])</f>
        <v>266709.08</v>
      </c>
      <c r="F48" s="57">
        <f>SUM(Tabel134[[#This Row],[Inv.
(15)]:[Maj.kulu
(55) ]])</f>
        <v>0</v>
      </c>
      <c r="G48" s="57">
        <f>SUM(Tabel134[[#This Row],[Inv.
(15)2]:[Maj.kulu
(55) 2]])</f>
        <v>0</v>
      </c>
      <c r="H48" s="57">
        <f>SUM(Tabel134[[#This Row],[Inv.
(15)3]:[Maj.kulu
(55) 3]])</f>
        <v>266709.08</v>
      </c>
      <c r="I48" s="58">
        <f>SUM(Tabel134[[#This Row],[Inv.
(15)4]:[Maj.kulu
(55) 4]])</f>
        <v>266709.08</v>
      </c>
      <c r="J48" s="52">
        <v>0</v>
      </c>
      <c r="K48" s="52">
        <v>0</v>
      </c>
      <c r="L48" s="59">
        <v>0</v>
      </c>
      <c r="M48" s="60">
        <v>0</v>
      </c>
      <c r="N48" s="52">
        <v>0</v>
      </c>
      <c r="O48" s="59">
        <v>0</v>
      </c>
      <c r="P48" s="60">
        <v>266709.08</v>
      </c>
      <c r="Q48" s="52">
        <v>0</v>
      </c>
      <c r="R48" s="59">
        <v>0</v>
      </c>
      <c r="S48" s="60">
        <v>266709.08</v>
      </c>
      <c r="T48" s="52">
        <v>0</v>
      </c>
      <c r="U48" s="52">
        <v>0</v>
      </c>
    </row>
    <row r="49" spans="1:21" x14ac:dyDescent="0.35">
      <c r="A49" s="44">
        <v>81</v>
      </c>
      <c r="B49" s="45" t="s">
        <v>27</v>
      </c>
      <c r="C49" s="46" t="s">
        <v>122</v>
      </c>
      <c r="D49" s="47" t="s">
        <v>137</v>
      </c>
      <c r="E49" s="56">
        <f>SUM(Tabel134[[#This Row],[2023]]+Tabel134[[#This Row],[2024 lisanduv]])</f>
        <v>124999.98</v>
      </c>
      <c r="F49" s="57">
        <f>SUM(Tabel134[[#This Row],[Inv.
(15)]:[Maj.kulu
(55) ]])</f>
        <v>0</v>
      </c>
      <c r="G49" s="57">
        <f>SUM(Tabel134[[#This Row],[Inv.
(15)2]:[Maj.kulu
(55) 2]])</f>
        <v>0</v>
      </c>
      <c r="H49" s="57">
        <f>SUM(Tabel134[[#This Row],[Inv.
(15)3]:[Maj.kulu
(55) 3]])</f>
        <v>124999.98</v>
      </c>
      <c r="I49" s="58">
        <f>SUM(Tabel134[[#This Row],[Inv.
(15)4]:[Maj.kulu
(55) 4]])</f>
        <v>124999.98</v>
      </c>
      <c r="J49" s="52">
        <v>0</v>
      </c>
      <c r="K49" s="52">
        <v>0</v>
      </c>
      <c r="L49" s="59">
        <v>0</v>
      </c>
      <c r="M49" s="60">
        <v>0</v>
      </c>
      <c r="N49" s="52">
        <v>0</v>
      </c>
      <c r="O49" s="59">
        <v>0</v>
      </c>
      <c r="P49" s="60">
        <v>124999.98</v>
      </c>
      <c r="Q49" s="52">
        <v>0</v>
      </c>
      <c r="R49" s="59">
        <v>0</v>
      </c>
      <c r="S49" s="60">
        <v>124999.98</v>
      </c>
      <c r="T49" s="52">
        <v>0</v>
      </c>
      <c r="U49" s="52">
        <v>0</v>
      </c>
    </row>
    <row r="50" spans="1:21" ht="43.5" x14ac:dyDescent="0.35">
      <c r="A50" s="44">
        <v>82</v>
      </c>
      <c r="B50" s="45" t="s">
        <v>27</v>
      </c>
      <c r="C50" s="46" t="s">
        <v>122</v>
      </c>
      <c r="D50" s="47" t="s">
        <v>139</v>
      </c>
      <c r="E50" s="56">
        <f>SUM(Tabel134[[#This Row],[2023]]+Tabel134[[#This Row],[2024 lisanduv]])</f>
        <v>202520</v>
      </c>
      <c r="F50" s="57">
        <f>SUM(Tabel134[[#This Row],[Inv.
(15)]:[Maj.kulu
(55) ]])</f>
        <v>0</v>
      </c>
      <c r="G50" s="57">
        <f>SUM(Tabel134[[#This Row],[Inv.
(15)2]:[Maj.kulu
(55) 2]])</f>
        <v>0</v>
      </c>
      <c r="H50" s="57">
        <f>SUM(Tabel134[[#This Row],[Inv.
(15)3]:[Maj.kulu
(55) 3]])</f>
        <v>202520</v>
      </c>
      <c r="I50" s="58">
        <f>SUM(Tabel134[[#This Row],[Inv.
(15)4]:[Maj.kulu
(55) 4]])</f>
        <v>202520</v>
      </c>
      <c r="J50" s="52">
        <v>0</v>
      </c>
      <c r="K50" s="52">
        <v>0</v>
      </c>
      <c r="L50" s="59">
        <v>0</v>
      </c>
      <c r="M50" s="60">
        <v>0</v>
      </c>
      <c r="N50" s="52">
        <v>0</v>
      </c>
      <c r="O50" s="59">
        <v>0</v>
      </c>
      <c r="P50" s="60">
        <v>0</v>
      </c>
      <c r="Q50" s="52">
        <v>0</v>
      </c>
      <c r="R50" s="59">
        <v>202520</v>
      </c>
      <c r="S50" s="60">
        <v>0</v>
      </c>
      <c r="T50" s="52">
        <v>0</v>
      </c>
      <c r="U50" s="52">
        <v>202520</v>
      </c>
    </row>
    <row r="51" spans="1:21" ht="58" x14ac:dyDescent="0.35">
      <c r="A51" s="44">
        <v>83</v>
      </c>
      <c r="B51" s="45" t="s">
        <v>27</v>
      </c>
      <c r="C51" s="46" t="s">
        <v>122</v>
      </c>
      <c r="D51" s="47" t="s">
        <v>132</v>
      </c>
      <c r="E51" s="56">
        <f>SUM(Tabel134[[#This Row],[2023]]+Tabel134[[#This Row],[2024 lisanduv]])</f>
        <v>610000</v>
      </c>
      <c r="F51" s="57">
        <f>SUM(Tabel134[[#This Row],[Inv.
(15)]:[Maj.kulu
(55) ]])</f>
        <v>0</v>
      </c>
      <c r="G51" s="57">
        <f>SUM(Tabel134[[#This Row],[Inv.
(15)2]:[Maj.kulu
(55) 2]])</f>
        <v>0</v>
      </c>
      <c r="H51" s="57">
        <f>SUM(Tabel134[[#This Row],[Inv.
(15)3]:[Maj.kulu
(55) 3]])</f>
        <v>610000</v>
      </c>
      <c r="I51" s="58">
        <f>SUM(Tabel134[[#This Row],[Inv.
(15)4]:[Maj.kulu
(55) 4]])</f>
        <v>610000</v>
      </c>
      <c r="J51" s="52">
        <v>0</v>
      </c>
      <c r="K51" s="52">
        <v>0</v>
      </c>
      <c r="L51" s="59">
        <v>0</v>
      </c>
      <c r="M51" s="60">
        <v>0</v>
      </c>
      <c r="N51" s="52">
        <v>0</v>
      </c>
      <c r="O51" s="59">
        <v>0</v>
      </c>
      <c r="P51" s="60">
        <v>610000</v>
      </c>
      <c r="Q51" s="52">
        <v>0</v>
      </c>
      <c r="R51" s="59">
        <v>0</v>
      </c>
      <c r="S51" s="60">
        <v>610000</v>
      </c>
      <c r="T51" s="52">
        <v>0</v>
      </c>
      <c r="U51" s="52">
        <v>0</v>
      </c>
    </row>
    <row r="52" spans="1:21" ht="29" x14ac:dyDescent="0.35">
      <c r="A52" s="44">
        <v>84</v>
      </c>
      <c r="B52" s="45" t="s">
        <v>27</v>
      </c>
      <c r="C52" s="46" t="s">
        <v>122</v>
      </c>
      <c r="D52" s="47" t="s">
        <v>126</v>
      </c>
      <c r="E52" s="56">
        <f>SUM(Tabel134[[#This Row],[2023]]+Tabel134[[#This Row],[2024 lisanduv]])</f>
        <v>442600</v>
      </c>
      <c r="F52" s="57">
        <f>SUM(Tabel134[[#This Row],[Inv.
(15)]:[Maj.kulu
(55) ]])</f>
        <v>162000</v>
      </c>
      <c r="G52" s="57">
        <f>SUM(Tabel134[[#This Row],[Inv.
(15)2]:[Maj.kulu
(55) 2]])</f>
        <v>162000</v>
      </c>
      <c r="H52" s="57">
        <f>SUM(Tabel134[[#This Row],[Inv.
(15)3]:[Maj.kulu
(55) 3]])</f>
        <v>280600</v>
      </c>
      <c r="I52" s="58">
        <f>SUM(Tabel134[[#This Row],[Inv.
(15)4]:[Maj.kulu
(55) 4]])</f>
        <v>445300</v>
      </c>
      <c r="J52" s="52">
        <v>162000</v>
      </c>
      <c r="K52" s="52">
        <v>0</v>
      </c>
      <c r="L52" s="59">
        <v>0</v>
      </c>
      <c r="M52" s="60">
        <v>162000</v>
      </c>
      <c r="N52" s="52">
        <v>0</v>
      </c>
      <c r="O52" s="59">
        <v>0</v>
      </c>
      <c r="P52" s="60">
        <v>280600</v>
      </c>
      <c r="Q52" s="52">
        <v>0</v>
      </c>
      <c r="R52" s="59">
        <v>0</v>
      </c>
      <c r="S52" s="60">
        <v>445300</v>
      </c>
      <c r="T52" s="52">
        <v>0</v>
      </c>
      <c r="U52" s="52">
        <v>0</v>
      </c>
    </row>
    <row r="53" spans="1:21" ht="29" x14ac:dyDescent="0.35">
      <c r="A53" s="44">
        <v>85</v>
      </c>
      <c r="B53" s="45" t="s">
        <v>27</v>
      </c>
      <c r="C53" s="46" t="s">
        <v>122</v>
      </c>
      <c r="D53" s="47" t="s">
        <v>124</v>
      </c>
      <c r="E53" s="56">
        <f>SUM(Tabel134[[#This Row],[2023]]+Tabel134[[#This Row],[2024 lisanduv]])</f>
        <v>101666.26</v>
      </c>
      <c r="F53" s="57">
        <f>SUM(Tabel134[[#This Row],[Inv.
(15)]:[Maj.kulu
(55) ]])</f>
        <v>0</v>
      </c>
      <c r="G53" s="57">
        <f>SUM(Tabel134[[#This Row],[Inv.
(15)2]:[Maj.kulu
(55) 2]])</f>
        <v>0</v>
      </c>
      <c r="H53" s="57">
        <f>SUM(Tabel134[[#This Row],[Inv.
(15)3]:[Maj.kulu
(55) 3]])</f>
        <v>101666.26</v>
      </c>
      <c r="I53" s="58">
        <f>SUM(Tabel134[[#This Row],[Inv.
(15)4]:[Maj.kulu
(55) 4]])</f>
        <v>101666.26</v>
      </c>
      <c r="J53" s="52">
        <v>0</v>
      </c>
      <c r="K53" s="52">
        <v>0</v>
      </c>
      <c r="L53" s="59">
        <v>0</v>
      </c>
      <c r="M53" s="60">
        <v>0</v>
      </c>
      <c r="N53" s="52">
        <v>0</v>
      </c>
      <c r="O53" s="59">
        <v>0</v>
      </c>
      <c r="P53" s="60">
        <v>0</v>
      </c>
      <c r="Q53" s="52">
        <v>0</v>
      </c>
      <c r="R53" s="59">
        <v>101666.26</v>
      </c>
      <c r="S53" s="60">
        <v>0</v>
      </c>
      <c r="T53" s="52">
        <v>0</v>
      </c>
      <c r="U53" s="52">
        <v>101666.26</v>
      </c>
    </row>
    <row r="54" spans="1:21" x14ac:dyDescent="0.35">
      <c r="A54" s="44">
        <v>86</v>
      </c>
      <c r="B54" s="45" t="s">
        <v>27</v>
      </c>
      <c r="C54" s="46" t="s">
        <v>149</v>
      </c>
      <c r="D54" s="47" t="s">
        <v>151</v>
      </c>
      <c r="E54" s="56">
        <f>SUM(Tabel134[[#This Row],[2023]]+Tabel134[[#This Row],[2024 lisanduv]])</f>
        <v>122000</v>
      </c>
      <c r="F54" s="57">
        <f>SUM(Tabel134[[#This Row],[Inv.
(15)]:[Maj.kulu
(55) ]])</f>
        <v>0</v>
      </c>
      <c r="G54" s="57">
        <f>SUM(Tabel134[[#This Row],[Inv.
(15)2]:[Maj.kulu
(55) 2]])</f>
        <v>0</v>
      </c>
      <c r="H54" s="57">
        <f>SUM(Tabel134[[#This Row],[Inv.
(15)3]:[Maj.kulu
(55) 3]])</f>
        <v>122000</v>
      </c>
      <c r="I54" s="58">
        <f>SUM(Tabel134[[#This Row],[Inv.
(15)4]:[Maj.kulu
(55) 4]])</f>
        <v>122000</v>
      </c>
      <c r="J54" s="52">
        <v>0</v>
      </c>
      <c r="K54" s="52">
        <v>0</v>
      </c>
      <c r="L54" s="59">
        <v>0</v>
      </c>
      <c r="M54" s="60">
        <v>0</v>
      </c>
      <c r="N54" s="52">
        <v>0</v>
      </c>
      <c r="O54" s="59">
        <v>0</v>
      </c>
      <c r="P54" s="60">
        <v>122000</v>
      </c>
      <c r="Q54" s="52">
        <v>0</v>
      </c>
      <c r="R54" s="59">
        <v>0</v>
      </c>
      <c r="S54" s="60">
        <v>122000</v>
      </c>
      <c r="T54" s="52">
        <v>0</v>
      </c>
      <c r="U54" s="52">
        <v>0</v>
      </c>
    </row>
    <row r="55" spans="1:21" ht="29" x14ac:dyDescent="0.35">
      <c r="A55" s="44">
        <v>87</v>
      </c>
      <c r="B55" s="45" t="s">
        <v>27</v>
      </c>
      <c r="C55" s="46" t="s">
        <v>149</v>
      </c>
      <c r="D55" s="47" t="s">
        <v>153</v>
      </c>
      <c r="E55" s="56">
        <f>SUM(Tabel134[[#This Row],[2023]]+Tabel134[[#This Row],[2024 lisanduv]])</f>
        <v>36478</v>
      </c>
      <c r="F55" s="57">
        <f>SUM(Tabel134[[#This Row],[Inv.
(15)]:[Maj.kulu
(55) ]])</f>
        <v>0</v>
      </c>
      <c r="G55" s="57">
        <f>SUM(Tabel134[[#This Row],[Inv.
(15)2]:[Maj.kulu
(55) 2]])</f>
        <v>0</v>
      </c>
      <c r="H55" s="57">
        <f>SUM(Tabel134[[#This Row],[Inv.
(15)3]:[Maj.kulu
(55) 3]])</f>
        <v>36478</v>
      </c>
      <c r="I55" s="58">
        <f>SUM(Tabel134[[#This Row],[Inv.
(15)4]:[Maj.kulu
(55) 4]])</f>
        <v>36478</v>
      </c>
      <c r="J55" s="52">
        <v>0</v>
      </c>
      <c r="K55" s="52">
        <v>0</v>
      </c>
      <c r="L55" s="59">
        <v>0</v>
      </c>
      <c r="M55" s="60">
        <v>0</v>
      </c>
      <c r="N55" s="52">
        <v>0</v>
      </c>
      <c r="O55" s="59">
        <v>0</v>
      </c>
      <c r="P55" s="60">
        <v>0</v>
      </c>
      <c r="Q55" s="52">
        <v>0</v>
      </c>
      <c r="R55" s="59">
        <v>36478</v>
      </c>
      <c r="S55" s="60">
        <v>0</v>
      </c>
      <c r="T55" s="52">
        <v>0</v>
      </c>
      <c r="U55" s="52">
        <v>36478</v>
      </c>
    </row>
    <row r="56" spans="1:21" ht="29" x14ac:dyDescent="0.35">
      <c r="A56" s="44">
        <v>88</v>
      </c>
      <c r="B56" s="45" t="s">
        <v>27</v>
      </c>
      <c r="C56" s="46" t="s">
        <v>154</v>
      </c>
      <c r="D56" s="47" t="s">
        <v>155</v>
      </c>
      <c r="E56" s="56">
        <f>SUM(Tabel134[[#This Row],[2023]]+Tabel134[[#This Row],[2024 lisanduv]])</f>
        <v>432000</v>
      </c>
      <c r="F56" s="57">
        <f>SUM(Tabel134[[#This Row],[Inv.
(15)]:[Maj.kulu
(55) ]])</f>
        <v>432000</v>
      </c>
      <c r="G56" s="57">
        <f>SUM(Tabel134[[#This Row],[Inv.
(15)2]:[Maj.kulu
(55) 2]])</f>
        <v>152072.4</v>
      </c>
      <c r="H56" s="57">
        <f>SUM(Tabel134[[#This Row],[Inv.
(15)3]:[Maj.kulu
(55) 3]])</f>
        <v>0</v>
      </c>
      <c r="I56" s="58">
        <f>SUM(Tabel134[[#This Row],[Inv.
(15)4]:[Maj.kulu
(55) 4]])</f>
        <v>154606.94</v>
      </c>
      <c r="J56" s="52">
        <v>0</v>
      </c>
      <c r="K56" s="52">
        <v>0</v>
      </c>
      <c r="L56" s="59">
        <v>432000</v>
      </c>
      <c r="M56" s="60">
        <v>0</v>
      </c>
      <c r="N56" s="52">
        <v>0</v>
      </c>
      <c r="O56" s="59">
        <v>152072.4</v>
      </c>
      <c r="P56" s="60">
        <v>0</v>
      </c>
      <c r="Q56" s="52">
        <v>0</v>
      </c>
      <c r="R56" s="59">
        <v>0</v>
      </c>
      <c r="S56" s="60">
        <v>0</v>
      </c>
      <c r="T56" s="52">
        <v>0</v>
      </c>
      <c r="U56" s="52">
        <v>154606.94</v>
      </c>
    </row>
    <row r="57" spans="1:21" ht="29" x14ac:dyDescent="0.35">
      <c r="A57" s="44">
        <v>89</v>
      </c>
      <c r="B57" s="45" t="s">
        <v>255</v>
      </c>
      <c r="C57" s="46" t="s">
        <v>82</v>
      </c>
      <c r="D57" s="47" t="s">
        <v>256</v>
      </c>
      <c r="E57" s="56">
        <f>SUM(Tabel134[[#This Row],[2023]]+Tabel134[[#This Row],[2024 lisanduv]])</f>
        <v>12200</v>
      </c>
      <c r="F57" s="57">
        <f>SUM(Tabel134[[#This Row],[Inv.
(15)]:[Maj.kulu
(55) ]])</f>
        <v>0</v>
      </c>
      <c r="G57" s="57">
        <f>SUM(Tabel134[[#This Row],[Inv.
(15)2]:[Maj.kulu
(55) 2]])</f>
        <v>0</v>
      </c>
      <c r="H57" s="57">
        <f>SUM(Tabel134[[#This Row],[Inv.
(15)3]:[Maj.kulu
(55) 3]])</f>
        <v>12200</v>
      </c>
      <c r="I57" s="58">
        <f>SUM(Tabel134[[#This Row],[Inv.
(15)4]:[Maj.kulu
(55) 4]])</f>
        <v>12200</v>
      </c>
      <c r="J57" s="52">
        <v>0</v>
      </c>
      <c r="K57" s="52">
        <v>0</v>
      </c>
      <c r="L57" s="59">
        <v>0</v>
      </c>
      <c r="M57" s="60">
        <v>0</v>
      </c>
      <c r="N57" s="52">
        <v>0</v>
      </c>
      <c r="O57" s="59">
        <v>0</v>
      </c>
      <c r="P57" s="60">
        <v>0</v>
      </c>
      <c r="Q57" s="52">
        <v>0</v>
      </c>
      <c r="R57" s="59">
        <v>12200</v>
      </c>
      <c r="S57" s="60">
        <v>0</v>
      </c>
      <c r="T57" s="52">
        <v>0</v>
      </c>
      <c r="U57" s="52">
        <v>12200</v>
      </c>
    </row>
    <row r="58" spans="1:21" ht="29" x14ac:dyDescent="0.35">
      <c r="A58" s="44">
        <v>90</v>
      </c>
      <c r="B58" s="45" t="s">
        <v>255</v>
      </c>
      <c r="C58" s="46" t="s">
        <v>82</v>
      </c>
      <c r="D58" s="47" t="s">
        <v>257</v>
      </c>
      <c r="E58" s="56">
        <f>SUM(Tabel134[[#This Row],[2023]]+Tabel134[[#This Row],[2024 lisanduv]])</f>
        <v>30500</v>
      </c>
      <c r="F58" s="57">
        <f>SUM(Tabel134[[#This Row],[Inv.
(15)]:[Maj.kulu
(55) ]])</f>
        <v>0</v>
      </c>
      <c r="G58" s="57">
        <f>SUM(Tabel134[[#This Row],[Inv.
(15)2]:[Maj.kulu
(55) 2]])</f>
        <v>0</v>
      </c>
      <c r="H58" s="57">
        <f>SUM(Tabel134[[#This Row],[Inv.
(15)3]:[Maj.kulu
(55) 3]])</f>
        <v>30500</v>
      </c>
      <c r="I58" s="58">
        <f>SUM(Tabel134[[#This Row],[Inv.
(15)4]:[Maj.kulu
(55) 4]])</f>
        <v>30500</v>
      </c>
      <c r="J58" s="52">
        <v>0</v>
      </c>
      <c r="K58" s="52">
        <v>0</v>
      </c>
      <c r="L58" s="59">
        <v>0</v>
      </c>
      <c r="M58" s="60">
        <v>0</v>
      </c>
      <c r="N58" s="52">
        <v>0</v>
      </c>
      <c r="O58" s="59">
        <v>0</v>
      </c>
      <c r="P58" s="60">
        <v>0</v>
      </c>
      <c r="Q58" s="52">
        <v>0</v>
      </c>
      <c r="R58" s="59">
        <v>30500</v>
      </c>
      <c r="S58" s="60">
        <v>0</v>
      </c>
      <c r="T58" s="52">
        <v>0</v>
      </c>
      <c r="U58" s="52">
        <v>30500</v>
      </c>
    </row>
    <row r="59" spans="1:21" ht="29" x14ac:dyDescent="0.35">
      <c r="A59" s="44">
        <v>91</v>
      </c>
      <c r="B59" s="45" t="s">
        <v>255</v>
      </c>
      <c r="C59" s="46" t="s">
        <v>82</v>
      </c>
      <c r="D59" s="47" t="s">
        <v>258</v>
      </c>
      <c r="E59" s="56">
        <f>SUM(Tabel134[[#This Row],[2023]]+Tabel134[[#This Row],[2024 lisanduv]])</f>
        <v>61000</v>
      </c>
      <c r="F59" s="57">
        <f>SUM(Tabel134[[#This Row],[Inv.
(15)]:[Maj.kulu
(55) ]])</f>
        <v>0</v>
      </c>
      <c r="G59" s="57">
        <f>SUM(Tabel134[[#This Row],[Inv.
(15)2]:[Maj.kulu
(55) 2]])</f>
        <v>0</v>
      </c>
      <c r="H59" s="57">
        <f>SUM(Tabel134[[#This Row],[Inv.
(15)3]:[Maj.kulu
(55) 3]])</f>
        <v>61000</v>
      </c>
      <c r="I59" s="58">
        <f>SUM(Tabel134[[#This Row],[Inv.
(15)4]:[Maj.kulu
(55) 4]])</f>
        <v>61000</v>
      </c>
      <c r="J59" s="52">
        <v>0</v>
      </c>
      <c r="K59" s="52">
        <v>0</v>
      </c>
      <c r="L59" s="59">
        <v>0</v>
      </c>
      <c r="M59" s="60">
        <v>0</v>
      </c>
      <c r="N59" s="52">
        <v>0</v>
      </c>
      <c r="O59" s="59">
        <v>0</v>
      </c>
      <c r="P59" s="60">
        <v>0</v>
      </c>
      <c r="Q59" s="52">
        <v>0</v>
      </c>
      <c r="R59" s="59">
        <v>61000</v>
      </c>
      <c r="S59" s="60">
        <v>0</v>
      </c>
      <c r="T59" s="52">
        <v>0</v>
      </c>
      <c r="U59" s="52">
        <v>61000</v>
      </c>
    </row>
    <row r="60" spans="1:21" x14ac:dyDescent="0.35">
      <c r="A60" s="44">
        <v>92</v>
      </c>
      <c r="B60" s="45" t="s">
        <v>255</v>
      </c>
      <c r="C60" s="46" t="s">
        <v>82</v>
      </c>
      <c r="D60" s="47" t="s">
        <v>259</v>
      </c>
      <c r="E60" s="56">
        <f>SUM(Tabel134[[#This Row],[2023]]+Tabel134[[#This Row],[2024 lisanduv]])</f>
        <v>3660</v>
      </c>
      <c r="F60" s="57">
        <f>SUM(Tabel134[[#This Row],[Inv.
(15)]:[Maj.kulu
(55) ]])</f>
        <v>0</v>
      </c>
      <c r="G60" s="57">
        <f>SUM(Tabel134[[#This Row],[Inv.
(15)2]:[Maj.kulu
(55) 2]])</f>
        <v>0</v>
      </c>
      <c r="H60" s="57">
        <f>SUM(Tabel134[[#This Row],[Inv.
(15)3]:[Maj.kulu
(55) 3]])</f>
        <v>3660</v>
      </c>
      <c r="I60" s="58">
        <f>SUM(Tabel134[[#This Row],[Inv.
(15)4]:[Maj.kulu
(55) 4]])</f>
        <v>3660</v>
      </c>
      <c r="J60" s="52">
        <v>0</v>
      </c>
      <c r="K60" s="52">
        <v>0</v>
      </c>
      <c r="L60" s="59">
        <v>0</v>
      </c>
      <c r="M60" s="60">
        <v>0</v>
      </c>
      <c r="N60" s="52">
        <v>0</v>
      </c>
      <c r="O60" s="59">
        <v>0</v>
      </c>
      <c r="P60" s="60">
        <v>0</v>
      </c>
      <c r="Q60" s="52">
        <v>0</v>
      </c>
      <c r="R60" s="59">
        <v>3660</v>
      </c>
      <c r="S60" s="60">
        <v>0</v>
      </c>
      <c r="T60" s="52">
        <v>0</v>
      </c>
      <c r="U60" s="52">
        <v>3660</v>
      </c>
    </row>
    <row r="61" spans="1:21" x14ac:dyDescent="0.35">
      <c r="A61" s="44">
        <v>93</v>
      </c>
      <c r="B61" s="45" t="s">
        <v>255</v>
      </c>
      <c r="C61" s="46" t="s">
        <v>89</v>
      </c>
      <c r="D61" s="47" t="s">
        <v>91</v>
      </c>
      <c r="E61" s="56">
        <f>SUM(Tabel134[[#This Row],[2023]]+Tabel134[[#This Row],[2024 lisanduv]])</f>
        <v>73200</v>
      </c>
      <c r="F61" s="57">
        <f>SUM(Tabel134[[#This Row],[Inv.
(15)]:[Maj.kulu
(55) ]])</f>
        <v>0</v>
      </c>
      <c r="G61" s="57">
        <f>SUM(Tabel134[[#This Row],[Inv.
(15)2]:[Maj.kulu
(55) 2]])</f>
        <v>0</v>
      </c>
      <c r="H61" s="57">
        <f>SUM(Tabel134[[#This Row],[Inv.
(15)3]:[Maj.kulu
(55) 3]])</f>
        <v>73200</v>
      </c>
      <c r="I61" s="58">
        <f>SUM(Tabel134[[#This Row],[Inv.
(15)4]:[Maj.kulu
(55) 4]])</f>
        <v>73200</v>
      </c>
      <c r="J61" s="52">
        <v>0</v>
      </c>
      <c r="K61" s="52">
        <v>0</v>
      </c>
      <c r="L61" s="59">
        <v>0</v>
      </c>
      <c r="M61" s="60">
        <v>0</v>
      </c>
      <c r="N61" s="52">
        <v>0</v>
      </c>
      <c r="O61" s="59">
        <v>0</v>
      </c>
      <c r="P61" s="60">
        <v>0</v>
      </c>
      <c r="Q61" s="52">
        <v>0</v>
      </c>
      <c r="R61" s="59">
        <v>73200</v>
      </c>
      <c r="S61" s="60">
        <v>0</v>
      </c>
      <c r="T61" s="52">
        <v>0</v>
      </c>
      <c r="U61" s="52">
        <v>73200</v>
      </c>
    </row>
    <row r="62" spans="1:21" x14ac:dyDescent="0.35">
      <c r="A62" s="44">
        <v>94</v>
      </c>
      <c r="B62" s="45" t="s">
        <v>255</v>
      </c>
      <c r="C62" s="46" t="s">
        <v>89</v>
      </c>
      <c r="D62" s="47" t="s">
        <v>93</v>
      </c>
      <c r="E62" s="56">
        <f>SUM(Tabel134[[#This Row],[2023]]+Tabel134[[#This Row],[2024 lisanduv]])</f>
        <v>4880</v>
      </c>
      <c r="F62" s="57">
        <f>SUM(Tabel134[[#This Row],[Inv.
(15)]:[Maj.kulu
(55) ]])</f>
        <v>0</v>
      </c>
      <c r="G62" s="57">
        <f>SUM(Tabel134[[#This Row],[Inv.
(15)2]:[Maj.kulu
(55) 2]])</f>
        <v>0</v>
      </c>
      <c r="H62" s="57">
        <f>SUM(Tabel134[[#This Row],[Inv.
(15)3]:[Maj.kulu
(55) 3]])</f>
        <v>4880</v>
      </c>
      <c r="I62" s="58">
        <f>SUM(Tabel134[[#This Row],[Inv.
(15)4]:[Maj.kulu
(55) 4]])</f>
        <v>4880</v>
      </c>
      <c r="J62" s="52">
        <v>0</v>
      </c>
      <c r="K62" s="52">
        <v>0</v>
      </c>
      <c r="L62" s="59">
        <v>0</v>
      </c>
      <c r="M62" s="60">
        <v>0</v>
      </c>
      <c r="N62" s="52">
        <v>0</v>
      </c>
      <c r="O62" s="59">
        <v>0</v>
      </c>
      <c r="P62" s="60">
        <v>0</v>
      </c>
      <c r="Q62" s="52">
        <v>0</v>
      </c>
      <c r="R62" s="59">
        <v>4880</v>
      </c>
      <c r="S62" s="60">
        <v>0</v>
      </c>
      <c r="T62" s="52">
        <v>0</v>
      </c>
      <c r="U62" s="52">
        <v>4880</v>
      </c>
    </row>
    <row r="63" spans="1:21" x14ac:dyDescent="0.35">
      <c r="A63" s="44">
        <v>95</v>
      </c>
      <c r="B63" s="45" t="s">
        <v>255</v>
      </c>
      <c r="C63" s="46" t="s">
        <v>89</v>
      </c>
      <c r="D63" s="47" t="s">
        <v>95</v>
      </c>
      <c r="E63" s="56">
        <f>SUM(Tabel134[[#This Row],[2023]]+Tabel134[[#This Row],[2024 lisanduv]])</f>
        <v>61000</v>
      </c>
      <c r="F63" s="57">
        <f>SUM(Tabel134[[#This Row],[Inv.
(15)]:[Maj.kulu
(55) ]])</f>
        <v>0</v>
      </c>
      <c r="G63" s="57">
        <f>SUM(Tabel134[[#This Row],[Inv.
(15)2]:[Maj.kulu
(55) 2]])</f>
        <v>0</v>
      </c>
      <c r="H63" s="57">
        <f>SUM(Tabel134[[#This Row],[Inv.
(15)3]:[Maj.kulu
(55) 3]])</f>
        <v>61000</v>
      </c>
      <c r="I63" s="58">
        <f>SUM(Tabel134[[#This Row],[Inv.
(15)4]:[Maj.kulu
(55) 4]])</f>
        <v>61000</v>
      </c>
      <c r="J63" s="52">
        <v>0</v>
      </c>
      <c r="K63" s="52">
        <v>0</v>
      </c>
      <c r="L63" s="59">
        <v>0</v>
      </c>
      <c r="M63" s="60">
        <v>0</v>
      </c>
      <c r="N63" s="52">
        <v>0</v>
      </c>
      <c r="O63" s="59">
        <v>0</v>
      </c>
      <c r="P63" s="60">
        <v>0</v>
      </c>
      <c r="Q63" s="52">
        <v>0</v>
      </c>
      <c r="R63" s="59">
        <v>61000</v>
      </c>
      <c r="S63" s="60">
        <v>0</v>
      </c>
      <c r="T63" s="52">
        <v>0</v>
      </c>
      <c r="U63" s="52">
        <v>61000</v>
      </c>
    </row>
    <row r="64" spans="1:21" x14ac:dyDescent="0.35">
      <c r="A64" s="44">
        <v>96</v>
      </c>
      <c r="B64" s="45" t="s">
        <v>255</v>
      </c>
      <c r="C64" s="46" t="s">
        <v>89</v>
      </c>
      <c r="D64" s="47" t="s">
        <v>97</v>
      </c>
      <c r="E64" s="56">
        <f>SUM(Tabel134[[#This Row],[2023]]+Tabel134[[#This Row],[2024 lisanduv]])</f>
        <v>736200</v>
      </c>
      <c r="F64" s="57">
        <f>SUM(Tabel134[[#This Row],[Inv.
(15)]:[Maj.kulu
(55) ]])</f>
        <v>736200</v>
      </c>
      <c r="G64" s="57">
        <f>SUM(Tabel134[[#This Row],[Inv.
(15)2]:[Maj.kulu
(55) 2]])</f>
        <v>736200</v>
      </c>
      <c r="H64" s="57">
        <f>SUM(Tabel134[[#This Row],[Inv.
(15)3]:[Maj.kulu
(55) 3]])</f>
        <v>0</v>
      </c>
      <c r="I64" s="58">
        <f>SUM(Tabel134[[#This Row],[Inv.
(15)4]:[Maj.kulu
(55) 4]])</f>
        <v>748470</v>
      </c>
      <c r="J64" s="52">
        <v>736200</v>
      </c>
      <c r="K64" s="52">
        <v>0</v>
      </c>
      <c r="L64" s="59">
        <v>0</v>
      </c>
      <c r="M64" s="60">
        <v>736200</v>
      </c>
      <c r="N64" s="52">
        <v>0</v>
      </c>
      <c r="O64" s="59">
        <v>0</v>
      </c>
      <c r="P64" s="60">
        <v>0</v>
      </c>
      <c r="Q64" s="52">
        <v>0</v>
      </c>
      <c r="R64" s="59">
        <v>0</v>
      </c>
      <c r="S64" s="60">
        <v>748470</v>
      </c>
      <c r="T64" s="52">
        <v>0</v>
      </c>
      <c r="U64" s="52">
        <v>0</v>
      </c>
    </row>
    <row r="65" spans="1:21" ht="29" x14ac:dyDescent="0.35">
      <c r="A65" s="44">
        <v>97</v>
      </c>
      <c r="B65" s="45" t="s">
        <v>255</v>
      </c>
      <c r="C65" s="46" t="s">
        <v>5</v>
      </c>
      <c r="D65" s="47" t="s">
        <v>21</v>
      </c>
      <c r="E65" s="56">
        <f>SUM(Tabel134[[#This Row],[2023]]+Tabel134[[#This Row],[2024 lisanduv]])</f>
        <v>79300</v>
      </c>
      <c r="F65" s="57">
        <f>SUM(Tabel134[[#This Row],[Inv.
(15)]:[Maj.kulu
(55) ]])</f>
        <v>0</v>
      </c>
      <c r="G65" s="57">
        <f>SUM(Tabel134[[#This Row],[Inv.
(15)2]:[Maj.kulu
(55) 2]])</f>
        <v>0</v>
      </c>
      <c r="H65" s="57">
        <f>SUM(Tabel134[[#This Row],[Inv.
(15)3]:[Maj.kulu
(55) 3]])</f>
        <v>79300</v>
      </c>
      <c r="I65" s="58">
        <f>SUM(Tabel134[[#This Row],[Inv.
(15)4]:[Maj.kulu
(55) 4]])</f>
        <v>79300</v>
      </c>
      <c r="J65" s="52">
        <v>0</v>
      </c>
      <c r="K65" s="52">
        <v>0</v>
      </c>
      <c r="L65" s="59">
        <v>0</v>
      </c>
      <c r="M65" s="60">
        <v>0</v>
      </c>
      <c r="N65" s="52">
        <v>0</v>
      </c>
      <c r="O65" s="59">
        <v>0</v>
      </c>
      <c r="P65" s="60">
        <v>0</v>
      </c>
      <c r="Q65" s="52">
        <v>0</v>
      </c>
      <c r="R65" s="59">
        <v>79300</v>
      </c>
      <c r="S65" s="60">
        <v>0</v>
      </c>
      <c r="T65" s="52">
        <v>0</v>
      </c>
      <c r="U65" s="52">
        <v>79300</v>
      </c>
    </row>
    <row r="66" spans="1:21" x14ac:dyDescent="0.35">
      <c r="A66" s="44">
        <v>98</v>
      </c>
      <c r="B66" s="45" t="s">
        <v>255</v>
      </c>
      <c r="C66" s="46" t="s">
        <v>5</v>
      </c>
      <c r="D66" s="47" t="s">
        <v>22</v>
      </c>
      <c r="E66" s="56">
        <f>SUM(Tabel134[[#This Row],[2023]]+Tabel134[[#This Row],[2024 lisanduv]])</f>
        <v>70000</v>
      </c>
      <c r="F66" s="57">
        <f>SUM(Tabel134[[#This Row],[Inv.
(15)]:[Maj.kulu
(55) ]])</f>
        <v>0</v>
      </c>
      <c r="G66" s="57">
        <f>SUM(Tabel134[[#This Row],[Inv.
(15)2]:[Maj.kulu
(55) 2]])</f>
        <v>0</v>
      </c>
      <c r="H66" s="57">
        <f>SUM(Tabel134[[#This Row],[Inv.
(15)3]:[Maj.kulu
(55) 3]])</f>
        <v>70000</v>
      </c>
      <c r="I66" s="58">
        <f>SUM(Tabel134[[#This Row],[Inv.
(15)4]:[Maj.kulu
(55) 4]])</f>
        <v>70000</v>
      </c>
      <c r="J66" s="52">
        <v>0</v>
      </c>
      <c r="K66" s="52">
        <v>0</v>
      </c>
      <c r="L66" s="59">
        <v>0</v>
      </c>
      <c r="M66" s="60">
        <v>0</v>
      </c>
      <c r="N66" s="52">
        <v>0</v>
      </c>
      <c r="O66" s="59">
        <v>0</v>
      </c>
      <c r="P66" s="60">
        <v>0</v>
      </c>
      <c r="Q66" s="52">
        <v>70000</v>
      </c>
      <c r="R66" s="59">
        <v>0</v>
      </c>
      <c r="S66" s="60">
        <v>0</v>
      </c>
      <c r="T66" s="52">
        <v>70000</v>
      </c>
      <c r="U66" s="52">
        <v>0</v>
      </c>
    </row>
    <row r="67" spans="1:21" x14ac:dyDescent="0.35">
      <c r="A67" s="44">
        <v>99</v>
      </c>
      <c r="B67" s="45" t="s">
        <v>11</v>
      </c>
      <c r="C67" s="46" t="s">
        <v>5</v>
      </c>
      <c r="D67" s="47" t="s">
        <v>13</v>
      </c>
      <c r="E67" s="56">
        <f>SUM(Tabel134[[#This Row],[2023]]+Tabel134[[#This Row],[2024 lisanduv]])</f>
        <v>281820</v>
      </c>
      <c r="F67" s="57">
        <f>SUM(Tabel134[[#This Row],[Inv.
(15)]:[Maj.kulu
(55) ]])</f>
        <v>0</v>
      </c>
      <c r="G67" s="57">
        <f>SUM(Tabel134[[#This Row],[Inv.
(15)2]:[Maj.kulu
(55) 2]])</f>
        <v>0</v>
      </c>
      <c r="H67" s="57">
        <f>SUM(Tabel134[[#This Row],[Inv.
(15)3]:[Maj.kulu
(55) 3]])</f>
        <v>281820</v>
      </c>
      <c r="I67" s="58">
        <f>SUM(Tabel134[[#This Row],[Inv.
(15)4]:[Maj.kulu
(55) 4]])</f>
        <v>281820</v>
      </c>
      <c r="J67" s="52">
        <v>0</v>
      </c>
      <c r="K67" s="52">
        <v>0</v>
      </c>
      <c r="L67" s="59">
        <v>0</v>
      </c>
      <c r="M67" s="60">
        <v>0</v>
      </c>
      <c r="N67" s="52">
        <v>0</v>
      </c>
      <c r="O67" s="59">
        <v>0</v>
      </c>
      <c r="P67" s="60">
        <v>281820</v>
      </c>
      <c r="Q67" s="52">
        <v>0</v>
      </c>
      <c r="R67" s="59">
        <v>0</v>
      </c>
      <c r="S67" s="60">
        <v>281820</v>
      </c>
      <c r="T67" s="52">
        <v>0</v>
      </c>
      <c r="U67" s="52">
        <v>0</v>
      </c>
    </row>
    <row r="68" spans="1:21" x14ac:dyDescent="0.35">
      <c r="A68" s="44">
        <v>100</v>
      </c>
      <c r="B68" s="45" t="s">
        <v>11</v>
      </c>
      <c r="C68" s="46" t="s">
        <v>5</v>
      </c>
      <c r="D68" s="47" t="s">
        <v>260</v>
      </c>
      <c r="E68" s="56">
        <f>SUM(Tabel134[[#This Row],[2023]]+Tabel134[[#This Row],[2024 lisanduv]])</f>
        <v>209400</v>
      </c>
      <c r="F68" s="57">
        <f>SUM(Tabel134[[#This Row],[Inv.
(15)]:[Maj.kulu
(55) ]])</f>
        <v>0</v>
      </c>
      <c r="G68" s="57">
        <f>SUM(Tabel134[[#This Row],[Inv.
(15)2]:[Maj.kulu
(55) 2]])</f>
        <v>0</v>
      </c>
      <c r="H68" s="57">
        <f>SUM(Tabel134[[#This Row],[Inv.
(15)3]:[Maj.kulu
(55) 3]])</f>
        <v>209400</v>
      </c>
      <c r="I68" s="58">
        <f>SUM(Tabel134[[#This Row],[Inv.
(15)4]:[Maj.kulu
(55) 4]])</f>
        <v>209400</v>
      </c>
      <c r="J68" s="52">
        <v>0</v>
      </c>
      <c r="K68" s="52">
        <v>0</v>
      </c>
      <c r="L68" s="59">
        <v>0</v>
      </c>
      <c r="M68" s="60">
        <v>0</v>
      </c>
      <c r="N68" s="52">
        <v>0</v>
      </c>
      <c r="O68" s="59">
        <v>0</v>
      </c>
      <c r="P68" s="60">
        <v>0</v>
      </c>
      <c r="Q68" s="52">
        <v>63000</v>
      </c>
      <c r="R68" s="59">
        <v>146400</v>
      </c>
      <c r="S68" s="60">
        <v>0</v>
      </c>
      <c r="T68" s="52">
        <v>63000</v>
      </c>
      <c r="U68" s="52">
        <v>146400</v>
      </c>
    </row>
    <row r="69" spans="1:21" x14ac:dyDescent="0.35">
      <c r="A69" s="44">
        <v>101</v>
      </c>
      <c r="B69" s="45" t="s">
        <v>255</v>
      </c>
      <c r="C69" s="46" t="s">
        <v>5</v>
      </c>
      <c r="D69" s="47" t="s">
        <v>24</v>
      </c>
      <c r="E69" s="56">
        <f>SUM(Tabel134[[#This Row],[2023]]+Tabel134[[#This Row],[2024 lisanduv]])</f>
        <v>97600</v>
      </c>
      <c r="F69" s="57">
        <f>SUM(Tabel134[[#This Row],[Inv.
(15)]:[Maj.kulu
(55) ]])</f>
        <v>0</v>
      </c>
      <c r="G69" s="57">
        <f>SUM(Tabel134[[#This Row],[Inv.
(15)2]:[Maj.kulu
(55) 2]])</f>
        <v>0</v>
      </c>
      <c r="H69" s="57">
        <f>SUM(Tabel134[[#This Row],[Inv.
(15)3]:[Maj.kulu
(55) 3]])</f>
        <v>97600</v>
      </c>
      <c r="I69" s="58">
        <f>SUM(Tabel134[[#This Row],[Inv.
(15)4]:[Maj.kulu
(55) 4]])</f>
        <v>97600</v>
      </c>
      <c r="J69" s="52">
        <v>0</v>
      </c>
      <c r="K69" s="52">
        <v>0</v>
      </c>
      <c r="L69" s="59">
        <v>0</v>
      </c>
      <c r="M69" s="60">
        <v>0</v>
      </c>
      <c r="N69" s="52">
        <v>0</v>
      </c>
      <c r="O69" s="59">
        <v>0</v>
      </c>
      <c r="P69" s="60">
        <v>0</v>
      </c>
      <c r="Q69" s="52">
        <v>0</v>
      </c>
      <c r="R69" s="59">
        <v>97600</v>
      </c>
      <c r="S69" s="60">
        <v>0</v>
      </c>
      <c r="T69" s="52">
        <v>0</v>
      </c>
      <c r="U69" s="52">
        <v>97600</v>
      </c>
    </row>
    <row r="70" spans="1:21" x14ac:dyDescent="0.35">
      <c r="A70" s="44">
        <v>102</v>
      </c>
      <c r="B70" s="45" t="s">
        <v>255</v>
      </c>
      <c r="C70" s="46" t="s">
        <v>40</v>
      </c>
      <c r="D70" s="47" t="s">
        <v>43</v>
      </c>
      <c r="E70" s="56">
        <f>SUM(Tabel134[[#This Row],[2023]]+Tabel134[[#This Row],[2024 lisanduv]])</f>
        <v>60000</v>
      </c>
      <c r="F70" s="57">
        <f>SUM(Tabel134[[#This Row],[Inv.
(15)]:[Maj.kulu
(55) ]])</f>
        <v>60000</v>
      </c>
      <c r="G70" s="57">
        <f>SUM(Tabel134[[#This Row],[Inv.
(15)2]:[Maj.kulu
(55) 2]])</f>
        <v>60000</v>
      </c>
      <c r="H70" s="57">
        <f>SUM(Tabel134[[#This Row],[Inv.
(15)3]:[Maj.kulu
(55) 3]])</f>
        <v>0</v>
      </c>
      <c r="I70" s="58">
        <f>SUM(Tabel134[[#This Row],[Inv.
(15)4]:[Maj.kulu
(55) 4]])</f>
        <v>61000</v>
      </c>
      <c r="J70" s="52">
        <v>0</v>
      </c>
      <c r="K70" s="52">
        <v>0</v>
      </c>
      <c r="L70" s="59">
        <v>60000</v>
      </c>
      <c r="M70" s="60">
        <v>0</v>
      </c>
      <c r="N70" s="52">
        <v>0</v>
      </c>
      <c r="O70" s="59">
        <v>60000</v>
      </c>
      <c r="P70" s="60">
        <v>0</v>
      </c>
      <c r="Q70" s="52">
        <v>0</v>
      </c>
      <c r="R70" s="59">
        <v>0</v>
      </c>
      <c r="S70" s="60">
        <v>0</v>
      </c>
      <c r="T70" s="52">
        <v>0</v>
      </c>
      <c r="U70" s="52">
        <v>61000</v>
      </c>
    </row>
    <row r="71" spans="1:21" x14ac:dyDescent="0.35">
      <c r="A71" s="44">
        <v>103</v>
      </c>
      <c r="B71" s="45" t="s">
        <v>255</v>
      </c>
      <c r="C71" s="46" t="s">
        <v>40</v>
      </c>
      <c r="D71" s="47" t="s">
        <v>261</v>
      </c>
      <c r="E71" s="56">
        <f>SUM(Tabel134[[#This Row],[2023]]+Tabel134[[#This Row],[2024 lisanduv]])</f>
        <v>120000</v>
      </c>
      <c r="F71" s="57">
        <f>SUM(Tabel134[[#This Row],[Inv.
(15)]:[Maj.kulu
(55) ]])</f>
        <v>120000</v>
      </c>
      <c r="G71" s="57">
        <f>SUM(Tabel134[[#This Row],[Inv.
(15)2]:[Maj.kulu
(55) 2]])</f>
        <v>120000</v>
      </c>
      <c r="H71" s="57">
        <f>SUM(Tabel134[[#This Row],[Inv.
(15)3]:[Maj.kulu
(55) 3]])</f>
        <v>0</v>
      </c>
      <c r="I71" s="58">
        <f>SUM(Tabel134[[#This Row],[Inv.
(15)4]:[Maj.kulu
(55) 4]])</f>
        <v>122000</v>
      </c>
      <c r="J71" s="52">
        <v>0</v>
      </c>
      <c r="K71" s="52">
        <v>0</v>
      </c>
      <c r="L71" s="59">
        <v>120000</v>
      </c>
      <c r="M71" s="60">
        <v>0</v>
      </c>
      <c r="N71" s="52">
        <v>0</v>
      </c>
      <c r="O71" s="59">
        <v>120000</v>
      </c>
      <c r="P71" s="60">
        <v>0</v>
      </c>
      <c r="Q71" s="52">
        <v>0</v>
      </c>
      <c r="R71" s="59">
        <v>0</v>
      </c>
      <c r="S71" s="60">
        <v>0</v>
      </c>
      <c r="T71" s="52">
        <v>0</v>
      </c>
      <c r="U71" s="52">
        <v>122000</v>
      </c>
    </row>
    <row r="72" spans="1:21" ht="29" x14ac:dyDescent="0.35">
      <c r="A72" s="44">
        <v>104</v>
      </c>
      <c r="B72" s="45" t="s">
        <v>255</v>
      </c>
      <c r="C72" s="46" t="s">
        <v>40</v>
      </c>
      <c r="D72" s="47" t="s">
        <v>262</v>
      </c>
      <c r="E72" s="56">
        <f>SUM(Tabel134[[#This Row],[2023]]+Tabel134[[#This Row],[2024 lisanduv]])</f>
        <v>162000</v>
      </c>
      <c r="F72" s="57">
        <f>SUM(Tabel134[[#This Row],[Inv.
(15)]:[Maj.kulu
(55) ]])</f>
        <v>162000</v>
      </c>
      <c r="G72" s="57">
        <f>SUM(Tabel134[[#This Row],[Inv.
(15)2]:[Maj.kulu
(55) 2]])</f>
        <v>162000</v>
      </c>
      <c r="H72" s="57">
        <f>SUM(Tabel134[[#This Row],[Inv.
(15)3]:[Maj.kulu
(55) 3]])</f>
        <v>0</v>
      </c>
      <c r="I72" s="58">
        <f>SUM(Tabel134[[#This Row],[Inv.
(15)4]:[Maj.kulu
(55) 4]])</f>
        <v>164700</v>
      </c>
      <c r="J72" s="52">
        <v>0</v>
      </c>
      <c r="K72" s="52">
        <v>0</v>
      </c>
      <c r="L72" s="59">
        <v>162000</v>
      </c>
      <c r="M72" s="60">
        <v>0</v>
      </c>
      <c r="N72" s="52">
        <v>0</v>
      </c>
      <c r="O72" s="59">
        <v>162000</v>
      </c>
      <c r="P72" s="60">
        <v>0</v>
      </c>
      <c r="Q72" s="52">
        <v>0</v>
      </c>
      <c r="R72" s="59">
        <v>0</v>
      </c>
      <c r="S72" s="60">
        <v>0</v>
      </c>
      <c r="T72" s="52">
        <v>0</v>
      </c>
      <c r="U72" s="52">
        <v>164700</v>
      </c>
    </row>
    <row r="73" spans="1:21" ht="29" x14ac:dyDescent="0.35">
      <c r="A73" s="44">
        <v>105</v>
      </c>
      <c r="B73" s="45" t="s">
        <v>255</v>
      </c>
      <c r="C73" s="46" t="s">
        <v>40</v>
      </c>
      <c r="D73" s="47" t="s">
        <v>263</v>
      </c>
      <c r="E73" s="56">
        <f>SUM(Tabel134[[#This Row],[2023]]+Tabel134[[#This Row],[2024 lisanduv]])</f>
        <v>426100</v>
      </c>
      <c r="F73" s="57">
        <f>SUM(Tabel134[[#This Row],[Inv.
(15)]:[Maj.kulu
(55) ]])</f>
        <v>54000</v>
      </c>
      <c r="G73" s="57">
        <f>SUM(Tabel134[[#This Row],[Inv.
(15)2]:[Maj.kulu
(55) 2]])</f>
        <v>54000</v>
      </c>
      <c r="H73" s="57">
        <f>SUM(Tabel134[[#This Row],[Inv.
(15)3]:[Maj.kulu
(55) 3]])</f>
        <v>372100</v>
      </c>
      <c r="I73" s="58">
        <f>SUM(Tabel134[[#This Row],[Inv.
(15)4]:[Maj.kulu
(55) 4]])</f>
        <v>427000</v>
      </c>
      <c r="J73" s="52">
        <v>0</v>
      </c>
      <c r="K73" s="52">
        <v>0</v>
      </c>
      <c r="L73" s="59">
        <v>54000</v>
      </c>
      <c r="M73" s="60">
        <v>0</v>
      </c>
      <c r="N73" s="52">
        <v>0</v>
      </c>
      <c r="O73" s="59">
        <v>54000</v>
      </c>
      <c r="P73" s="60">
        <v>0</v>
      </c>
      <c r="Q73" s="52">
        <v>0</v>
      </c>
      <c r="R73" s="59">
        <v>372100</v>
      </c>
      <c r="S73" s="60">
        <v>0</v>
      </c>
      <c r="T73" s="52">
        <v>0</v>
      </c>
      <c r="U73" s="52">
        <v>427000</v>
      </c>
    </row>
    <row r="74" spans="1:21" x14ac:dyDescent="0.35">
      <c r="A74" s="44">
        <v>106</v>
      </c>
      <c r="B74" s="45" t="s">
        <v>255</v>
      </c>
      <c r="C74" s="46" t="s">
        <v>40</v>
      </c>
      <c r="D74" s="47" t="s">
        <v>51</v>
      </c>
      <c r="E74" s="56">
        <f>SUM(Tabel134[[#This Row],[2023]]+Tabel134[[#This Row],[2024 lisanduv]])</f>
        <v>40140</v>
      </c>
      <c r="F74" s="57">
        <f>SUM(Tabel134[[#This Row],[Inv.
(15)]:[Maj.kulu
(55) ]])</f>
        <v>0</v>
      </c>
      <c r="G74" s="57">
        <f>SUM(Tabel134[[#This Row],[Inv.
(15)2]:[Maj.kulu
(55) 2]])</f>
        <v>0</v>
      </c>
      <c r="H74" s="57">
        <f>SUM(Tabel134[[#This Row],[Inv.
(15)3]:[Maj.kulu
(55) 3]])</f>
        <v>40140</v>
      </c>
      <c r="I74" s="58">
        <f>SUM(Tabel134[[#This Row],[Inv.
(15)4]:[Maj.kulu
(55) 4]])</f>
        <v>40140</v>
      </c>
      <c r="J74" s="52">
        <v>0</v>
      </c>
      <c r="K74" s="52">
        <v>0</v>
      </c>
      <c r="L74" s="59">
        <v>0</v>
      </c>
      <c r="M74" s="60">
        <v>0</v>
      </c>
      <c r="N74" s="52">
        <v>0</v>
      </c>
      <c r="O74" s="59">
        <v>0</v>
      </c>
      <c r="P74" s="60">
        <v>0</v>
      </c>
      <c r="Q74" s="52">
        <v>40140</v>
      </c>
      <c r="R74" s="59">
        <v>0</v>
      </c>
      <c r="S74" s="60">
        <v>0</v>
      </c>
      <c r="T74" s="52">
        <v>40140</v>
      </c>
      <c r="U74" s="52">
        <v>0</v>
      </c>
    </row>
    <row r="75" spans="1:21" ht="29" x14ac:dyDescent="0.35">
      <c r="A75" s="44">
        <v>107</v>
      </c>
      <c r="B75" s="45" t="s">
        <v>255</v>
      </c>
      <c r="C75" s="46" t="s">
        <v>40</v>
      </c>
      <c r="D75" s="47" t="s">
        <v>264</v>
      </c>
      <c r="E75" s="56">
        <f>SUM(Tabel134[[#This Row],[2023]]+Tabel134[[#This Row],[2024 lisanduv]])</f>
        <v>144000</v>
      </c>
      <c r="F75" s="57">
        <f>SUM(Tabel134[[#This Row],[Inv.
(15)]:[Maj.kulu
(55) ]])</f>
        <v>144000</v>
      </c>
      <c r="G75" s="57">
        <f>SUM(Tabel134[[#This Row],[Inv.
(15)2]:[Maj.kulu
(55) 2]])</f>
        <v>144000</v>
      </c>
      <c r="H75" s="57">
        <f>SUM(Tabel134[[#This Row],[Inv.
(15)3]:[Maj.kulu
(55) 3]])</f>
        <v>0</v>
      </c>
      <c r="I75" s="58">
        <f>SUM(Tabel134[[#This Row],[Inv.
(15)4]:[Maj.kulu
(55) 4]])</f>
        <v>146400</v>
      </c>
      <c r="J75" s="52">
        <v>0</v>
      </c>
      <c r="K75" s="52">
        <v>0</v>
      </c>
      <c r="L75" s="59">
        <v>144000</v>
      </c>
      <c r="M75" s="60">
        <v>0</v>
      </c>
      <c r="N75" s="52">
        <v>0</v>
      </c>
      <c r="O75" s="59">
        <v>144000</v>
      </c>
      <c r="P75" s="60">
        <v>0</v>
      </c>
      <c r="Q75" s="52">
        <v>0</v>
      </c>
      <c r="R75" s="59">
        <v>0</v>
      </c>
      <c r="S75" s="60">
        <v>0</v>
      </c>
      <c r="T75" s="52">
        <v>0</v>
      </c>
      <c r="U75" s="52">
        <v>146400</v>
      </c>
    </row>
    <row r="76" spans="1:21" ht="29" x14ac:dyDescent="0.35">
      <c r="A76" s="44">
        <v>108</v>
      </c>
      <c r="B76" s="45" t="s">
        <v>255</v>
      </c>
      <c r="C76" s="46" t="s">
        <v>40</v>
      </c>
      <c r="D76" s="47" t="s">
        <v>265</v>
      </c>
      <c r="E76" s="56">
        <f>SUM(Tabel134[[#This Row],[2023]]+Tabel134[[#This Row],[2024 lisanduv]])</f>
        <v>97600</v>
      </c>
      <c r="F76" s="57">
        <f>SUM(Tabel134[[#This Row],[Inv.
(15)]:[Maj.kulu
(55) ]])</f>
        <v>0</v>
      </c>
      <c r="G76" s="57">
        <f>SUM(Tabel134[[#This Row],[Inv.
(15)2]:[Maj.kulu
(55) 2]])</f>
        <v>0</v>
      </c>
      <c r="H76" s="57">
        <f>SUM(Tabel134[[#This Row],[Inv.
(15)3]:[Maj.kulu
(55) 3]])</f>
        <v>97600</v>
      </c>
      <c r="I76" s="58">
        <f>SUM(Tabel134[[#This Row],[Inv.
(15)4]:[Maj.kulu
(55) 4]])</f>
        <v>97600</v>
      </c>
      <c r="J76" s="52">
        <v>0</v>
      </c>
      <c r="K76" s="52">
        <v>0</v>
      </c>
      <c r="L76" s="59">
        <v>0</v>
      </c>
      <c r="M76" s="60">
        <v>0</v>
      </c>
      <c r="N76" s="52">
        <v>0</v>
      </c>
      <c r="O76" s="59">
        <v>0</v>
      </c>
      <c r="P76" s="60">
        <v>0</v>
      </c>
      <c r="Q76" s="52">
        <v>0</v>
      </c>
      <c r="R76" s="59">
        <v>97600</v>
      </c>
      <c r="S76" s="60">
        <v>0</v>
      </c>
      <c r="T76" s="52">
        <v>0</v>
      </c>
      <c r="U76" s="52">
        <v>97600</v>
      </c>
    </row>
    <row r="77" spans="1:21" x14ac:dyDescent="0.35">
      <c r="A77" s="44">
        <v>109</v>
      </c>
      <c r="B77" s="45" t="s">
        <v>255</v>
      </c>
      <c r="C77" s="46" t="s">
        <v>40</v>
      </c>
      <c r="D77" s="47" t="s">
        <v>51</v>
      </c>
      <c r="E77" s="56">
        <f>SUM(Tabel134[[#This Row],[2023]]+Tabel134[[#This Row],[2024 lisanduv]])</f>
        <v>55193</v>
      </c>
      <c r="F77" s="57">
        <f>SUM(Tabel134[[#This Row],[Inv.
(15)]:[Maj.kulu
(55) ]])</f>
        <v>0</v>
      </c>
      <c r="G77" s="57">
        <f>SUM(Tabel134[[#This Row],[Inv.
(15)2]:[Maj.kulu
(55) 2]])</f>
        <v>0</v>
      </c>
      <c r="H77" s="57">
        <f>SUM(Tabel134[[#This Row],[Inv.
(15)3]:[Maj.kulu
(55) 3]])</f>
        <v>55193</v>
      </c>
      <c r="I77" s="58">
        <f>SUM(Tabel134[[#This Row],[Inv.
(15)4]:[Maj.kulu
(55) 4]])</f>
        <v>55193</v>
      </c>
      <c r="J77" s="52">
        <v>0</v>
      </c>
      <c r="K77" s="52">
        <v>0</v>
      </c>
      <c r="L77" s="59">
        <v>0</v>
      </c>
      <c r="M77" s="60">
        <v>0</v>
      </c>
      <c r="N77" s="52">
        <v>0</v>
      </c>
      <c r="O77" s="59">
        <v>0</v>
      </c>
      <c r="P77" s="60">
        <v>0</v>
      </c>
      <c r="Q77" s="52">
        <v>55193</v>
      </c>
      <c r="R77" s="59">
        <v>0</v>
      </c>
      <c r="S77" s="60">
        <v>0</v>
      </c>
      <c r="T77" s="52">
        <v>55193</v>
      </c>
      <c r="U77" s="52">
        <v>0</v>
      </c>
    </row>
    <row r="78" spans="1:21" x14ac:dyDescent="0.35">
      <c r="A78" s="44">
        <v>110</v>
      </c>
      <c r="B78" s="45" t="s">
        <v>255</v>
      </c>
      <c r="C78" s="46" t="s">
        <v>40</v>
      </c>
      <c r="D78" s="47" t="s">
        <v>266</v>
      </c>
      <c r="E78" s="56">
        <f>SUM(Tabel134[[#This Row],[2023]]+Tabel134[[#This Row],[2024 lisanduv]])</f>
        <v>217600</v>
      </c>
      <c r="F78" s="57">
        <f>SUM(Tabel134[[#This Row],[Inv.
(15)]:[Maj.kulu
(55) ]])</f>
        <v>120000</v>
      </c>
      <c r="G78" s="57">
        <f>SUM(Tabel134[[#This Row],[Inv.
(15)2]:[Maj.kulu
(55) 2]])</f>
        <v>120000</v>
      </c>
      <c r="H78" s="57">
        <f>SUM(Tabel134[[#This Row],[Inv.
(15)3]:[Maj.kulu
(55) 3]])</f>
        <v>97600</v>
      </c>
      <c r="I78" s="58">
        <f>SUM(Tabel134[[#This Row],[Inv.
(15)4]:[Maj.kulu
(55) 4]])</f>
        <v>219600</v>
      </c>
      <c r="J78" s="52">
        <v>0</v>
      </c>
      <c r="K78" s="52">
        <v>0</v>
      </c>
      <c r="L78" s="59">
        <v>120000</v>
      </c>
      <c r="M78" s="60">
        <v>0</v>
      </c>
      <c r="N78" s="52">
        <v>0</v>
      </c>
      <c r="O78" s="59">
        <v>120000</v>
      </c>
      <c r="P78" s="60">
        <v>97600</v>
      </c>
      <c r="Q78" s="52">
        <v>0</v>
      </c>
      <c r="R78" s="59">
        <v>0</v>
      </c>
      <c r="S78" s="60">
        <v>97600</v>
      </c>
      <c r="T78" s="52">
        <v>0</v>
      </c>
      <c r="U78" s="52">
        <v>122000</v>
      </c>
    </row>
    <row r="79" spans="1:21" x14ac:dyDescent="0.35">
      <c r="A79" s="44">
        <v>111</v>
      </c>
      <c r="B79" s="45" t="s">
        <v>255</v>
      </c>
      <c r="C79" s="46" t="s">
        <v>62</v>
      </c>
      <c r="D79" s="47" t="s">
        <v>267</v>
      </c>
      <c r="E79" s="56">
        <f>SUM(Tabel134[[#This Row],[2023]]+Tabel134[[#This Row],[2024 lisanduv]])</f>
        <v>39040</v>
      </c>
      <c r="F79" s="57">
        <f>SUM(Tabel134[[#This Row],[Inv.
(15)]:[Maj.kulu
(55) ]])</f>
        <v>0</v>
      </c>
      <c r="G79" s="57">
        <f>SUM(Tabel134[[#This Row],[Inv.
(15)2]:[Maj.kulu
(55) 2]])</f>
        <v>0</v>
      </c>
      <c r="H79" s="57">
        <f>SUM(Tabel134[[#This Row],[Inv.
(15)3]:[Maj.kulu
(55) 3]])</f>
        <v>39040</v>
      </c>
      <c r="I79" s="58">
        <f>SUM(Tabel134[[#This Row],[Inv.
(15)4]:[Maj.kulu
(55) 4]])</f>
        <v>39040</v>
      </c>
      <c r="J79" s="52">
        <v>0</v>
      </c>
      <c r="K79" s="52">
        <v>0</v>
      </c>
      <c r="L79" s="59">
        <v>0</v>
      </c>
      <c r="M79" s="60">
        <v>0</v>
      </c>
      <c r="N79" s="52">
        <v>0</v>
      </c>
      <c r="O79" s="59">
        <v>0</v>
      </c>
      <c r="P79" s="60">
        <v>0</v>
      </c>
      <c r="Q79" s="52">
        <v>0</v>
      </c>
      <c r="R79" s="59">
        <v>39040</v>
      </c>
      <c r="S79" s="60">
        <v>0</v>
      </c>
      <c r="T79" s="52">
        <v>0</v>
      </c>
      <c r="U79" s="52">
        <v>39040</v>
      </c>
    </row>
    <row r="80" spans="1:21" ht="29" x14ac:dyDescent="0.35">
      <c r="A80" s="44">
        <v>112</v>
      </c>
      <c r="B80" s="45" t="s">
        <v>255</v>
      </c>
      <c r="C80" s="46" t="s">
        <v>62</v>
      </c>
      <c r="D80" s="47" t="s">
        <v>268</v>
      </c>
      <c r="E80" s="56">
        <f>SUM(Tabel134[[#This Row],[2023]]+Tabel134[[#This Row],[2024 lisanduv]])</f>
        <v>120000</v>
      </c>
      <c r="F80" s="57">
        <f>SUM(Tabel134[[#This Row],[Inv.
(15)]:[Maj.kulu
(55) ]])</f>
        <v>0</v>
      </c>
      <c r="G80" s="57">
        <f>SUM(Tabel134[[#This Row],[Inv.
(15)2]:[Maj.kulu
(55) 2]])</f>
        <v>0</v>
      </c>
      <c r="H80" s="57">
        <f>SUM(Tabel134[[#This Row],[Inv.
(15)3]:[Maj.kulu
(55) 3]])</f>
        <v>120000</v>
      </c>
      <c r="I80" s="58">
        <f>SUM(Tabel134[[#This Row],[Inv.
(15)4]:[Maj.kulu
(55) 4]])</f>
        <v>120000</v>
      </c>
      <c r="J80" s="52">
        <v>0</v>
      </c>
      <c r="K80" s="52">
        <v>0</v>
      </c>
      <c r="L80" s="59">
        <v>0</v>
      </c>
      <c r="M80" s="60">
        <v>0</v>
      </c>
      <c r="N80" s="52">
        <v>0</v>
      </c>
      <c r="O80" s="59">
        <v>0</v>
      </c>
      <c r="P80" s="60">
        <v>0</v>
      </c>
      <c r="Q80" s="52">
        <v>120000</v>
      </c>
      <c r="R80" s="59">
        <v>0</v>
      </c>
      <c r="S80" s="60">
        <v>0</v>
      </c>
      <c r="T80" s="52">
        <v>120000</v>
      </c>
      <c r="U80" s="52">
        <v>0</v>
      </c>
    </row>
    <row r="81" spans="1:21" x14ac:dyDescent="0.35">
      <c r="A81" s="44">
        <v>113</v>
      </c>
      <c r="B81" s="45" t="s">
        <v>255</v>
      </c>
      <c r="C81" s="46" t="s">
        <v>62</v>
      </c>
      <c r="D81" s="47" t="s">
        <v>95</v>
      </c>
      <c r="E81" s="56">
        <f>SUM(Tabel134[[#This Row],[2023]]+Tabel134[[#This Row],[2024 lisanduv]])</f>
        <v>48800</v>
      </c>
      <c r="F81" s="57">
        <f>SUM(Tabel134[[#This Row],[Inv.
(15)]:[Maj.kulu
(55) ]])</f>
        <v>0</v>
      </c>
      <c r="G81" s="57">
        <f>SUM(Tabel134[[#This Row],[Inv.
(15)2]:[Maj.kulu
(55) 2]])</f>
        <v>0</v>
      </c>
      <c r="H81" s="57">
        <f>SUM(Tabel134[[#This Row],[Inv.
(15)3]:[Maj.kulu
(55) 3]])</f>
        <v>48800</v>
      </c>
      <c r="I81" s="58">
        <f>SUM(Tabel134[[#This Row],[Inv.
(15)4]:[Maj.kulu
(55) 4]])</f>
        <v>48800</v>
      </c>
      <c r="J81" s="52">
        <v>0</v>
      </c>
      <c r="K81" s="52">
        <v>0</v>
      </c>
      <c r="L81" s="59">
        <v>0</v>
      </c>
      <c r="M81" s="60">
        <v>0</v>
      </c>
      <c r="N81" s="52">
        <v>0</v>
      </c>
      <c r="O81" s="59">
        <v>0</v>
      </c>
      <c r="P81" s="60">
        <v>0</v>
      </c>
      <c r="Q81" s="52">
        <v>0</v>
      </c>
      <c r="R81" s="59">
        <v>48800</v>
      </c>
      <c r="S81" s="60">
        <v>0</v>
      </c>
      <c r="T81" s="52">
        <v>0</v>
      </c>
      <c r="U81" s="52">
        <v>48800</v>
      </c>
    </row>
    <row r="82" spans="1:21" x14ac:dyDescent="0.35">
      <c r="A82" s="44">
        <v>114</v>
      </c>
      <c r="B82" s="45" t="s">
        <v>255</v>
      </c>
      <c r="C82" s="46" t="s">
        <v>76</v>
      </c>
      <c r="D82" s="47" t="s">
        <v>78</v>
      </c>
      <c r="E82" s="56">
        <f>SUM(Tabel134[[#This Row],[2023]]+Tabel134[[#This Row],[2024 lisanduv]])</f>
        <v>206145.6</v>
      </c>
      <c r="F82" s="57">
        <f>SUM(Tabel134[[#This Row],[Inv.
(15)]:[Maj.kulu
(55) ]])</f>
        <v>198927.6</v>
      </c>
      <c r="G82" s="57">
        <f>SUM(Tabel134[[#This Row],[Inv.
(15)2]:[Maj.kulu
(55) 2]])</f>
        <v>151974</v>
      </c>
      <c r="H82" s="57">
        <f>SUM(Tabel134[[#This Row],[Inv.
(15)3]:[Maj.kulu
(55) 3]])</f>
        <v>7218</v>
      </c>
      <c r="I82" s="58">
        <f>SUM(Tabel134[[#This Row],[Inv.
(15)4]:[Maj.kulu
(55) 4]])</f>
        <v>160855.20000000001</v>
      </c>
      <c r="J82" s="52">
        <v>0</v>
      </c>
      <c r="K82" s="52">
        <v>52182</v>
      </c>
      <c r="L82" s="59">
        <v>146745.60000000001</v>
      </c>
      <c r="M82" s="60">
        <v>0</v>
      </c>
      <c r="N82" s="52">
        <v>52182</v>
      </c>
      <c r="O82" s="59">
        <v>99792</v>
      </c>
      <c r="P82" s="60">
        <v>0</v>
      </c>
      <c r="Q82" s="52">
        <v>7218</v>
      </c>
      <c r="R82" s="59">
        <v>0</v>
      </c>
      <c r="S82" s="60">
        <v>0</v>
      </c>
      <c r="T82" s="52">
        <v>59400</v>
      </c>
      <c r="U82" s="52">
        <v>101455.2</v>
      </c>
    </row>
    <row r="83" spans="1:21" x14ac:dyDescent="0.35">
      <c r="A83" s="44">
        <v>115</v>
      </c>
      <c r="B83" s="45" t="s">
        <v>255</v>
      </c>
      <c r="C83" s="46" t="s">
        <v>26</v>
      </c>
      <c r="D83" s="47" t="s">
        <v>31</v>
      </c>
      <c r="E83" s="56">
        <f>SUM(Tabel134[[#This Row],[2023]]+Tabel134[[#This Row],[2024 lisanduv]])</f>
        <v>96320</v>
      </c>
      <c r="F83" s="57">
        <f>SUM(Tabel134[[#This Row],[Inv.
(15)]:[Maj.kulu
(55) ]])</f>
        <v>47520</v>
      </c>
      <c r="G83" s="57">
        <f>SUM(Tabel134[[#This Row],[Inv.
(15)2]:[Maj.kulu
(55) 2]])</f>
        <v>0</v>
      </c>
      <c r="H83" s="57">
        <f>SUM(Tabel134[[#This Row],[Inv.
(15)3]:[Maj.kulu
(55) 3]])</f>
        <v>48800</v>
      </c>
      <c r="I83" s="58">
        <f>SUM(Tabel134[[#This Row],[Inv.
(15)4]:[Maj.kulu
(55) 4]])</f>
        <v>48800</v>
      </c>
      <c r="J83" s="52">
        <v>0</v>
      </c>
      <c r="K83" s="52">
        <v>0</v>
      </c>
      <c r="L83" s="59">
        <v>47520</v>
      </c>
      <c r="M83" s="60">
        <v>0</v>
      </c>
      <c r="N83" s="52">
        <v>0</v>
      </c>
      <c r="O83" s="59">
        <v>0</v>
      </c>
      <c r="P83" s="60">
        <v>0</v>
      </c>
      <c r="Q83" s="52">
        <v>0</v>
      </c>
      <c r="R83" s="59">
        <v>48800</v>
      </c>
      <c r="S83" s="60">
        <v>0</v>
      </c>
      <c r="T83" s="52">
        <v>0</v>
      </c>
      <c r="U83" s="52">
        <v>48800</v>
      </c>
    </row>
    <row r="84" spans="1:21" x14ac:dyDescent="0.35">
      <c r="A84" s="44">
        <v>116</v>
      </c>
      <c r="B84" s="45" t="s">
        <v>255</v>
      </c>
      <c r="C84" s="46" t="s">
        <v>26</v>
      </c>
      <c r="D84" s="47" t="s">
        <v>33</v>
      </c>
      <c r="E84" s="56">
        <f>SUM(Tabel134[[#This Row],[2023]]+Tabel134[[#This Row],[2024 lisanduv]])</f>
        <v>121000</v>
      </c>
      <c r="F84" s="57">
        <f>SUM(Tabel134[[#This Row],[Inv.
(15)]:[Maj.kulu
(55) ]])</f>
        <v>60000</v>
      </c>
      <c r="G84" s="57">
        <f>SUM(Tabel134[[#This Row],[Inv.
(15)2]:[Maj.kulu
(55) 2]])</f>
        <v>60000</v>
      </c>
      <c r="H84" s="57">
        <f>SUM(Tabel134[[#This Row],[Inv.
(15)3]:[Maj.kulu
(55) 3]])</f>
        <v>61000</v>
      </c>
      <c r="I84" s="58">
        <f>SUM(Tabel134[[#This Row],[Inv.
(15)4]:[Maj.kulu
(55) 4]])</f>
        <v>122000</v>
      </c>
      <c r="J84" s="52">
        <v>0</v>
      </c>
      <c r="K84" s="52">
        <v>0</v>
      </c>
      <c r="L84" s="59">
        <v>60000</v>
      </c>
      <c r="M84" s="60">
        <v>0</v>
      </c>
      <c r="N84" s="52">
        <v>0</v>
      </c>
      <c r="O84" s="59">
        <v>60000</v>
      </c>
      <c r="P84" s="60">
        <v>0</v>
      </c>
      <c r="Q84" s="52">
        <v>0</v>
      </c>
      <c r="R84" s="59">
        <v>61000</v>
      </c>
      <c r="S84" s="60">
        <v>0</v>
      </c>
      <c r="T84" s="52">
        <v>0</v>
      </c>
      <c r="U84" s="52">
        <v>122000</v>
      </c>
    </row>
    <row r="85" spans="1:21" x14ac:dyDescent="0.35">
      <c r="A85" s="44">
        <v>117</v>
      </c>
      <c r="B85" s="45" t="s">
        <v>255</v>
      </c>
      <c r="C85" s="46" t="s">
        <v>26</v>
      </c>
      <c r="D85" s="47" t="s">
        <v>35</v>
      </c>
      <c r="E85" s="56">
        <f>SUM(Tabel134[[#This Row],[2023]]+Tabel134[[#This Row],[2024 lisanduv]])</f>
        <v>60000</v>
      </c>
      <c r="F85" s="57">
        <f>SUM(Tabel134[[#This Row],[Inv.
(15)]:[Maj.kulu
(55) ]])</f>
        <v>60000</v>
      </c>
      <c r="G85" s="57">
        <f>SUM(Tabel134[[#This Row],[Inv.
(15)2]:[Maj.kulu
(55) 2]])</f>
        <v>60000</v>
      </c>
      <c r="H85" s="57">
        <f>SUM(Tabel134[[#This Row],[Inv.
(15)3]:[Maj.kulu
(55) 3]])</f>
        <v>0</v>
      </c>
      <c r="I85" s="58">
        <f>SUM(Tabel134[[#This Row],[Inv.
(15)4]:[Maj.kulu
(55) 4]])</f>
        <v>61000</v>
      </c>
      <c r="J85" s="52">
        <v>0</v>
      </c>
      <c r="K85" s="52">
        <v>0</v>
      </c>
      <c r="L85" s="59">
        <v>60000</v>
      </c>
      <c r="M85" s="60">
        <v>0</v>
      </c>
      <c r="N85" s="52">
        <v>0</v>
      </c>
      <c r="O85" s="59">
        <v>60000</v>
      </c>
      <c r="P85" s="60">
        <v>0</v>
      </c>
      <c r="Q85" s="52">
        <v>0</v>
      </c>
      <c r="R85" s="59">
        <v>0</v>
      </c>
      <c r="S85" s="60">
        <v>0</v>
      </c>
      <c r="T85" s="52">
        <v>0</v>
      </c>
      <c r="U85" s="52">
        <v>61000</v>
      </c>
    </row>
    <row r="86" spans="1:21" x14ac:dyDescent="0.35">
      <c r="A86" s="44">
        <v>118</v>
      </c>
      <c r="B86" s="45" t="s">
        <v>255</v>
      </c>
      <c r="C86" s="46" t="s">
        <v>26</v>
      </c>
      <c r="D86" s="47" t="s">
        <v>37</v>
      </c>
      <c r="E86" s="56">
        <f>SUM(Tabel134[[#This Row],[2023]]+Tabel134[[#This Row],[2024 lisanduv]])</f>
        <v>36297.599999999999</v>
      </c>
      <c r="F86" s="57">
        <f>SUM(Tabel134[[#This Row],[Inv.
(15)]:[Maj.kulu
(55) ]])</f>
        <v>17997.599999999999</v>
      </c>
      <c r="G86" s="57">
        <f>SUM(Tabel134[[#This Row],[Inv.
(15)2]:[Maj.kulu
(55) 2]])</f>
        <v>0</v>
      </c>
      <c r="H86" s="57">
        <f>SUM(Tabel134[[#This Row],[Inv.
(15)3]:[Maj.kulu
(55) 3]])</f>
        <v>18300</v>
      </c>
      <c r="I86" s="58">
        <f>SUM(Tabel134[[#This Row],[Inv.
(15)4]:[Maj.kulu
(55) 4]])</f>
        <v>18300</v>
      </c>
      <c r="J86" s="52">
        <v>0</v>
      </c>
      <c r="K86" s="52">
        <v>0</v>
      </c>
      <c r="L86" s="59">
        <v>17997.599999999999</v>
      </c>
      <c r="M86" s="60">
        <v>0</v>
      </c>
      <c r="N86" s="52">
        <v>0</v>
      </c>
      <c r="O86" s="59">
        <v>0</v>
      </c>
      <c r="P86" s="60">
        <v>0</v>
      </c>
      <c r="Q86" s="52">
        <v>0</v>
      </c>
      <c r="R86" s="59">
        <v>18300</v>
      </c>
      <c r="S86" s="60">
        <v>0</v>
      </c>
      <c r="T86" s="52">
        <v>0</v>
      </c>
      <c r="U86" s="52">
        <v>18300</v>
      </c>
    </row>
    <row r="87" spans="1:21" x14ac:dyDescent="0.35">
      <c r="A87" s="44">
        <v>119</v>
      </c>
      <c r="B87" s="45" t="s">
        <v>255</v>
      </c>
      <c r="C87" s="46" t="s">
        <v>26</v>
      </c>
      <c r="D87" s="47" t="s">
        <v>39</v>
      </c>
      <c r="E87" s="56">
        <f>SUM(Tabel134[[#This Row],[2023]]+Tabel134[[#This Row],[2024 lisanduv]])</f>
        <v>36597.56</v>
      </c>
      <c r="F87" s="57">
        <f>SUM(Tabel134[[#This Row],[Inv.
(15)]:[Maj.kulu
(55) ]])</f>
        <v>0</v>
      </c>
      <c r="G87" s="57">
        <f>SUM(Tabel134[[#This Row],[Inv.
(15)2]:[Maj.kulu
(55) 2]])</f>
        <v>0</v>
      </c>
      <c r="H87" s="57">
        <f>SUM(Tabel134[[#This Row],[Inv.
(15)3]:[Maj.kulu
(55) 3]])</f>
        <v>36597.56</v>
      </c>
      <c r="I87" s="58">
        <f>SUM(Tabel134[[#This Row],[Inv.
(15)4]:[Maj.kulu
(55) 4]])</f>
        <v>36597.56</v>
      </c>
      <c r="J87" s="52">
        <v>0</v>
      </c>
      <c r="K87" s="52">
        <v>0</v>
      </c>
      <c r="L87" s="59">
        <v>0</v>
      </c>
      <c r="M87" s="60">
        <v>0</v>
      </c>
      <c r="N87" s="52">
        <v>0</v>
      </c>
      <c r="O87" s="59">
        <v>0</v>
      </c>
      <c r="P87" s="60">
        <v>0</v>
      </c>
      <c r="Q87" s="52">
        <v>0</v>
      </c>
      <c r="R87" s="59">
        <v>36597.56</v>
      </c>
      <c r="S87" s="60">
        <v>0</v>
      </c>
      <c r="T87" s="52">
        <v>0</v>
      </c>
      <c r="U87" s="52">
        <v>36597.56</v>
      </c>
    </row>
    <row r="88" spans="1:21" x14ac:dyDescent="0.35">
      <c r="A88" s="44">
        <v>120</v>
      </c>
      <c r="B88" s="45" t="s">
        <v>255</v>
      </c>
      <c r="C88" s="46" t="s">
        <v>269</v>
      </c>
      <c r="D88" s="47" t="s">
        <v>29</v>
      </c>
      <c r="E88" s="56">
        <f>SUM(Tabel134[[#This Row],[2023]]+Tabel134[[#This Row],[2024 lisanduv]])</f>
        <v>90000</v>
      </c>
      <c r="F88" s="57">
        <f>SUM(Tabel134[[#This Row],[Inv.
(15)]:[Maj.kulu
(55) ]])</f>
        <v>90000</v>
      </c>
      <c r="G88" s="57">
        <f>SUM(Tabel134[[#This Row],[Inv.
(15)2]:[Maj.kulu
(55) 2]])</f>
        <v>90000</v>
      </c>
      <c r="H88" s="57">
        <f>SUM(Tabel134[[#This Row],[Inv.
(15)3]:[Maj.kulu
(55) 3]])</f>
        <v>0</v>
      </c>
      <c r="I88" s="58">
        <f>SUM(Tabel134[[#This Row],[Inv.
(15)4]:[Maj.kulu
(55) 4]])</f>
        <v>91500</v>
      </c>
      <c r="J88" s="52">
        <v>90000</v>
      </c>
      <c r="K88" s="52">
        <v>0</v>
      </c>
      <c r="L88" s="59">
        <v>0</v>
      </c>
      <c r="M88" s="60">
        <v>90000</v>
      </c>
      <c r="N88" s="52">
        <v>0</v>
      </c>
      <c r="O88" s="59">
        <v>0</v>
      </c>
      <c r="P88" s="60">
        <v>0</v>
      </c>
      <c r="Q88" s="52">
        <v>0</v>
      </c>
      <c r="R88" s="59">
        <v>0</v>
      </c>
      <c r="S88" s="60">
        <v>91500</v>
      </c>
      <c r="T88" s="52">
        <v>0</v>
      </c>
      <c r="U88" s="52">
        <v>0</v>
      </c>
    </row>
    <row r="89" spans="1:21" x14ac:dyDescent="0.35">
      <c r="A89" s="44">
        <v>121</v>
      </c>
      <c r="B89" s="45" t="s">
        <v>255</v>
      </c>
      <c r="C89" s="46" t="s">
        <v>270</v>
      </c>
      <c r="D89" s="47" t="s">
        <v>70</v>
      </c>
      <c r="E89" s="56">
        <f>SUM(Tabel134[[#This Row],[2023]]+Tabel134[[#This Row],[2024 lisanduv]])</f>
        <v>36600</v>
      </c>
      <c r="F89" s="57">
        <f>SUM(Tabel134[[#This Row],[Inv.
(15)]:[Maj.kulu
(55) ]])</f>
        <v>0</v>
      </c>
      <c r="G89" s="57">
        <f>SUM(Tabel134[[#This Row],[Inv.
(15)2]:[Maj.kulu
(55) 2]])</f>
        <v>0</v>
      </c>
      <c r="H89" s="57">
        <f>SUM(Tabel134[[#This Row],[Inv.
(15)3]:[Maj.kulu
(55) 3]])</f>
        <v>36600</v>
      </c>
      <c r="I89" s="58">
        <f>SUM(Tabel134[[#This Row],[Inv.
(15)4]:[Maj.kulu
(55) 4]])</f>
        <v>36600</v>
      </c>
      <c r="J89" s="52">
        <v>0</v>
      </c>
      <c r="K89" s="52">
        <v>0</v>
      </c>
      <c r="L89" s="59">
        <v>0</v>
      </c>
      <c r="M89" s="60">
        <v>0</v>
      </c>
      <c r="N89" s="52">
        <v>0</v>
      </c>
      <c r="O89" s="59">
        <v>0</v>
      </c>
      <c r="P89" s="60">
        <v>36600</v>
      </c>
      <c r="Q89" s="52">
        <v>0</v>
      </c>
      <c r="R89" s="59">
        <v>0</v>
      </c>
      <c r="S89" s="60">
        <v>36600</v>
      </c>
      <c r="T89" s="52">
        <v>0</v>
      </c>
      <c r="U89" s="52">
        <v>0</v>
      </c>
    </row>
    <row r="90" spans="1:21" x14ac:dyDescent="0.35">
      <c r="A90" s="44">
        <v>122</v>
      </c>
      <c r="B90" s="45" t="s">
        <v>255</v>
      </c>
      <c r="C90" s="46" t="s">
        <v>270</v>
      </c>
      <c r="D90" s="47" t="s">
        <v>72</v>
      </c>
      <c r="E90" s="56">
        <f>SUM(Tabel134[[#This Row],[2023]]+Tabel134[[#This Row],[2024 lisanduv]])</f>
        <v>36600</v>
      </c>
      <c r="F90" s="57">
        <f>SUM(Tabel134[[#This Row],[Inv.
(15)]:[Maj.kulu
(55) ]])</f>
        <v>0</v>
      </c>
      <c r="G90" s="57">
        <f>SUM(Tabel134[[#This Row],[Inv.
(15)2]:[Maj.kulu
(55) 2]])</f>
        <v>0</v>
      </c>
      <c r="H90" s="57">
        <f>SUM(Tabel134[[#This Row],[Inv.
(15)3]:[Maj.kulu
(55) 3]])</f>
        <v>36600</v>
      </c>
      <c r="I90" s="58">
        <f>SUM(Tabel134[[#This Row],[Inv.
(15)4]:[Maj.kulu
(55) 4]])</f>
        <v>36600</v>
      </c>
      <c r="J90" s="52">
        <v>0</v>
      </c>
      <c r="K90" s="52">
        <v>0</v>
      </c>
      <c r="L90" s="59">
        <v>0</v>
      </c>
      <c r="M90" s="60">
        <v>0</v>
      </c>
      <c r="N90" s="52">
        <v>0</v>
      </c>
      <c r="O90" s="59">
        <v>0</v>
      </c>
      <c r="P90" s="60">
        <v>0</v>
      </c>
      <c r="Q90" s="52">
        <v>0</v>
      </c>
      <c r="R90" s="59">
        <v>36600</v>
      </c>
      <c r="S90" s="60">
        <v>0</v>
      </c>
      <c r="T90" s="52">
        <v>0</v>
      </c>
      <c r="U90" s="52">
        <v>36600</v>
      </c>
    </row>
    <row r="91" spans="1:21" ht="29" x14ac:dyDescent="0.35">
      <c r="A91" s="44">
        <v>123</v>
      </c>
      <c r="B91" s="45" t="s">
        <v>255</v>
      </c>
      <c r="C91" s="46" t="s">
        <v>270</v>
      </c>
      <c r="D91" s="47" t="s">
        <v>271</v>
      </c>
      <c r="E91" s="56">
        <f>SUM(Tabel134[[#This Row],[2023]]+Tabel134[[#This Row],[2024 lisanduv]])</f>
        <v>119200</v>
      </c>
      <c r="F91" s="57">
        <f>SUM(Tabel134[[#This Row],[Inv.
(15)]:[Maj.kulu
(55) ]])</f>
        <v>0</v>
      </c>
      <c r="G91" s="57">
        <f>SUM(Tabel134[[#This Row],[Inv.
(15)2]:[Maj.kulu
(55) 2]])</f>
        <v>0</v>
      </c>
      <c r="H91" s="57">
        <f>SUM(Tabel134[[#This Row],[Inv.
(15)3]:[Maj.kulu
(55) 3]])</f>
        <v>119200</v>
      </c>
      <c r="I91" s="58">
        <f>SUM(Tabel134[[#This Row],[Inv.
(15)4]:[Maj.kulu
(55) 4]])</f>
        <v>119200</v>
      </c>
      <c r="J91" s="52">
        <v>0</v>
      </c>
      <c r="K91" s="52">
        <v>0</v>
      </c>
      <c r="L91" s="59">
        <v>0</v>
      </c>
      <c r="M91" s="60">
        <v>0</v>
      </c>
      <c r="N91" s="52">
        <v>0</v>
      </c>
      <c r="O91" s="59">
        <v>0</v>
      </c>
      <c r="P91" s="60">
        <v>0</v>
      </c>
      <c r="Q91" s="52">
        <v>119200</v>
      </c>
      <c r="R91" s="59">
        <v>0</v>
      </c>
      <c r="S91" s="60">
        <v>0</v>
      </c>
      <c r="T91" s="52">
        <v>119200</v>
      </c>
      <c r="U91" s="52">
        <v>0</v>
      </c>
    </row>
    <row r="92" spans="1:21" ht="72.5" x14ac:dyDescent="0.35">
      <c r="A92" s="44">
        <v>124</v>
      </c>
      <c r="B92" s="45" t="s">
        <v>255</v>
      </c>
      <c r="C92" s="46" t="s">
        <v>73</v>
      </c>
      <c r="D92" s="47" t="s">
        <v>75</v>
      </c>
      <c r="E92" s="56">
        <f>SUM(Tabel134[[#This Row],[2023]]+Tabel134[[#This Row],[2024 lisanduv]])</f>
        <v>61000</v>
      </c>
      <c r="F92" s="57">
        <f>SUM(Tabel134[[#This Row],[Inv.
(15)]:[Maj.kulu
(55) ]])</f>
        <v>0</v>
      </c>
      <c r="G92" s="57">
        <f>SUM(Tabel134[[#This Row],[Inv.
(15)2]:[Maj.kulu
(55) 2]])</f>
        <v>0</v>
      </c>
      <c r="H92" s="57">
        <f>SUM(Tabel134[[#This Row],[Inv.
(15)3]:[Maj.kulu
(55) 3]])</f>
        <v>61000</v>
      </c>
      <c r="I92" s="58">
        <f>SUM(Tabel134[[#This Row],[Inv.
(15)4]:[Maj.kulu
(55) 4]])</f>
        <v>61000</v>
      </c>
      <c r="J92" s="52">
        <v>0</v>
      </c>
      <c r="K92" s="52">
        <v>0</v>
      </c>
      <c r="L92" s="59">
        <v>0</v>
      </c>
      <c r="M92" s="60">
        <v>0</v>
      </c>
      <c r="N92" s="52">
        <v>0</v>
      </c>
      <c r="O92" s="59">
        <v>0</v>
      </c>
      <c r="P92" s="60">
        <v>0</v>
      </c>
      <c r="Q92" s="52">
        <v>0</v>
      </c>
      <c r="R92" s="59">
        <v>61000</v>
      </c>
      <c r="S92" s="60">
        <v>0</v>
      </c>
      <c r="T92" s="52">
        <v>0</v>
      </c>
      <c r="U92" s="52">
        <v>61000</v>
      </c>
    </row>
    <row r="93" spans="1:21" x14ac:dyDescent="0.35">
      <c r="A93" s="68"/>
      <c r="B93" s="68"/>
      <c r="C93" s="69"/>
      <c r="D93" s="37" t="s">
        <v>197</v>
      </c>
      <c r="E93" s="70">
        <f>SUM(Tabel134[Summa kokku 
2023-2024])</f>
        <v>18444543.700000003</v>
      </c>
      <c r="F93" s="71">
        <f>SUM(Tabel134[2023])</f>
        <v>7396122.9999999991</v>
      </c>
      <c r="G93" s="71">
        <f>SUM(Tabel134[2024 
(2023 jätk)])</f>
        <v>6233534.4000000013</v>
      </c>
      <c r="H93" s="71">
        <f>SUM(Tabel134[2024 lisanduv])</f>
        <v>11048420.699999999</v>
      </c>
      <c r="I93" s="71">
        <f>SUM(Tabel134[2024])</f>
        <v>17371871.939999998</v>
      </c>
      <c r="J93" s="71">
        <f>SUM(Tabel134[Inv.
(15)])</f>
        <v>3846280.8000000003</v>
      </c>
      <c r="K93" s="71">
        <f>SUM(Tabel134[Tööj.kulu
(50)])</f>
        <v>1004929</v>
      </c>
      <c r="L93" s="71">
        <f>SUM(Tabel134[Maj.kulu
(55) ])</f>
        <v>2544913.2000000002</v>
      </c>
      <c r="M93" s="71">
        <f>SUM(Tabel134[Inv.
(15)2])</f>
        <v>3400904.4</v>
      </c>
      <c r="N93" s="71">
        <f>SUM(Tabel134[Tööj.kulu
(50)2])</f>
        <v>838524</v>
      </c>
      <c r="O93" s="71">
        <f>SUM(Tabel134[Maj.kulu
(55) 2])</f>
        <v>1994106</v>
      </c>
      <c r="P93" s="71">
        <f>SUM(Tabel134[Inv.
(15)3])</f>
        <v>7846547.1200000001</v>
      </c>
      <c r="Q93" s="71">
        <f>SUM(Tabel134[Tööj.kulu
(50)3])</f>
        <v>1150701</v>
      </c>
      <c r="R93" s="71">
        <f>SUM(Tabel134[Maj.kulu
(55) 3])</f>
        <v>2051172.58</v>
      </c>
      <c r="S93" s="71">
        <f>SUM(Tabel134[Inv.
(15)4])</f>
        <v>11304133.26</v>
      </c>
      <c r="T93" s="71">
        <f>SUM(Tabel134[Tööj.kulu
(50)4])</f>
        <v>1989225</v>
      </c>
      <c r="U93" s="71">
        <f>SUM(Tabel134[Maj.kulu
(55) 4])</f>
        <v>4078513.68</v>
      </c>
    </row>
    <row r="94" spans="1:21" ht="43.5" x14ac:dyDescent="0.35">
      <c r="E94" s="72" t="s">
        <v>215</v>
      </c>
      <c r="F94" s="73" t="s">
        <v>216</v>
      </c>
      <c r="G94" s="74" t="s">
        <v>217</v>
      </c>
      <c r="H94" s="74" t="s">
        <v>218</v>
      </c>
      <c r="I94" s="73" t="s">
        <v>219</v>
      </c>
      <c r="J94" s="75" t="s">
        <v>220</v>
      </c>
      <c r="K94" s="74" t="s">
        <v>221</v>
      </c>
      <c r="L94" s="74" t="s">
        <v>222</v>
      </c>
      <c r="M94" s="75" t="s">
        <v>223</v>
      </c>
      <c r="N94" s="74" t="s">
        <v>224</v>
      </c>
      <c r="O94" s="74" t="s">
        <v>225</v>
      </c>
      <c r="P94" s="75" t="s">
        <v>226</v>
      </c>
      <c r="Q94" s="74" t="s">
        <v>227</v>
      </c>
      <c r="R94" s="74" t="s">
        <v>228</v>
      </c>
      <c r="S94" s="75" t="s">
        <v>229</v>
      </c>
      <c r="T94" s="74" t="s">
        <v>230</v>
      </c>
      <c r="U94" s="74" t="s">
        <v>231</v>
      </c>
    </row>
    <row r="95" spans="1:21" ht="54" customHeight="1" x14ac:dyDescent="0.35">
      <c r="B95" s="146" t="s">
        <v>272</v>
      </c>
      <c r="C95" s="146"/>
      <c r="D95" s="146"/>
      <c r="E95" s="147" t="s">
        <v>207</v>
      </c>
      <c r="F95" s="147"/>
      <c r="G95" s="147"/>
      <c r="H95" s="147"/>
      <c r="I95" s="147"/>
      <c r="J95" s="147" t="s">
        <v>208</v>
      </c>
      <c r="K95" s="147"/>
      <c r="L95" s="148"/>
      <c r="M95" s="149" t="s">
        <v>209</v>
      </c>
      <c r="N95" s="150"/>
      <c r="O95" s="150"/>
      <c r="P95" s="150" t="s">
        <v>210</v>
      </c>
      <c r="Q95" s="150"/>
      <c r="R95" s="151"/>
      <c r="S95" s="149" t="s">
        <v>211</v>
      </c>
      <c r="T95" s="150"/>
      <c r="U95" s="151"/>
    </row>
    <row r="96" spans="1:21" x14ac:dyDescent="0.35">
      <c r="B96" s="146"/>
      <c r="C96" s="146"/>
      <c r="D96" s="146"/>
    </row>
    <row r="97" spans="2:4" x14ac:dyDescent="0.35">
      <c r="B97" s="146"/>
      <c r="C97" s="146"/>
      <c r="D97" s="146"/>
    </row>
    <row r="98" spans="2:4" x14ac:dyDescent="0.35">
      <c r="B98" s="146"/>
      <c r="C98" s="146"/>
      <c r="D98" s="146"/>
    </row>
    <row r="99" spans="2:4" x14ac:dyDescent="0.35">
      <c r="B99" s="146"/>
      <c r="C99" s="146"/>
      <c r="D99" s="146"/>
    </row>
    <row r="100" spans="2:4" x14ac:dyDescent="0.35">
      <c r="B100" s="146"/>
      <c r="C100" s="146"/>
      <c r="D100" s="146"/>
    </row>
    <row r="101" spans="2:4" x14ac:dyDescent="0.35">
      <c r="B101" s="146"/>
      <c r="C101" s="146"/>
      <c r="D101" s="146"/>
    </row>
    <row r="102" spans="2:4" x14ac:dyDescent="0.35">
      <c r="B102" s="146"/>
      <c r="C102" s="146"/>
      <c r="D102" s="146"/>
    </row>
    <row r="103" spans="2:4" x14ac:dyDescent="0.35">
      <c r="B103" s="146"/>
      <c r="C103" s="146"/>
      <c r="D103" s="146"/>
    </row>
    <row r="104" spans="2:4" x14ac:dyDescent="0.35">
      <c r="B104" s="146"/>
      <c r="C104" s="146"/>
      <c r="D104" s="146"/>
    </row>
  </sheetData>
  <mergeCells count="11">
    <mergeCell ref="S95:U95"/>
    <mergeCell ref="E2:I2"/>
    <mergeCell ref="J2:L2"/>
    <mergeCell ref="M2:O2"/>
    <mergeCell ref="P2:R2"/>
    <mergeCell ref="S2:U2"/>
    <mergeCell ref="B95:D104"/>
    <mergeCell ref="E95:I95"/>
    <mergeCell ref="J95:L95"/>
    <mergeCell ref="M95:O95"/>
    <mergeCell ref="P95:R95"/>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43CA7-82C4-4ADB-8184-EE155F7E5B8F}">
  <dimension ref="A1:I37"/>
  <sheetViews>
    <sheetView workbookViewId="0">
      <selection activeCell="C8" sqref="C8"/>
    </sheetView>
  </sheetViews>
  <sheetFormatPr defaultRowHeight="14.5" x14ac:dyDescent="0.35"/>
  <cols>
    <col min="2" max="2" width="6.81640625" bestFit="1" customWidth="1"/>
    <col min="3" max="3" width="65.54296875" customWidth="1"/>
    <col min="4" max="4" width="17.26953125" bestFit="1" customWidth="1"/>
    <col min="5" max="5" width="18.90625" customWidth="1"/>
    <col min="6" max="6" width="20.54296875" bestFit="1" customWidth="1"/>
    <col min="7" max="7" width="22.1796875" bestFit="1" customWidth="1"/>
    <col min="8" max="8" width="23.7265625" bestFit="1" customWidth="1"/>
    <col min="9" max="9" width="11.1796875" bestFit="1" customWidth="1"/>
  </cols>
  <sheetData>
    <row r="1" spans="1:9" x14ac:dyDescent="0.35">
      <c r="A1" s="2" t="s">
        <v>212</v>
      </c>
      <c r="B1" s="2" t="s">
        <v>213</v>
      </c>
      <c r="C1" s="2" t="s">
        <v>2</v>
      </c>
      <c r="D1" s="2" t="s">
        <v>273</v>
      </c>
      <c r="E1" s="2" t="s">
        <v>274</v>
      </c>
      <c r="F1" s="2" t="s">
        <v>275</v>
      </c>
      <c r="G1" s="2" t="s">
        <v>276</v>
      </c>
      <c r="H1" s="2" t="s">
        <v>277</v>
      </c>
      <c r="I1" s="2" t="s">
        <v>278</v>
      </c>
    </row>
    <row r="2" spans="1:9" x14ac:dyDescent="0.35">
      <c r="A2">
        <v>1</v>
      </c>
      <c r="B2" s="68" t="s">
        <v>27</v>
      </c>
      <c r="C2" s="79" t="s">
        <v>279</v>
      </c>
      <c r="D2" s="80">
        <f t="shared" ref="D2:D36" si="0">SUM(E2+G2+I2)</f>
        <v>135400</v>
      </c>
      <c r="E2" s="81">
        <v>116400</v>
      </c>
      <c r="F2" s="81">
        <f>Tabel1[[#This Row],[Investeering (KM-ga)]]/1.2</f>
        <v>97000</v>
      </c>
      <c r="G2" s="81">
        <v>0</v>
      </c>
      <c r="H2" s="81">
        <f>Tabel1[[#This Row],[Majandamiskulu (KM-ga)]]/1.2</f>
        <v>0</v>
      </c>
      <c r="I2" s="81">
        <v>19000</v>
      </c>
    </row>
    <row r="3" spans="1:9" x14ac:dyDescent="0.35">
      <c r="A3">
        <v>2</v>
      </c>
      <c r="B3" s="68" t="s">
        <v>27</v>
      </c>
      <c r="C3" s="82" t="s">
        <v>280</v>
      </c>
      <c r="D3" s="80">
        <f t="shared" si="0"/>
        <v>83400</v>
      </c>
      <c r="E3" s="81">
        <v>68200</v>
      </c>
      <c r="F3" s="81">
        <f>Tabel1[[#This Row],[Investeering (KM-ga)]]/1.2</f>
        <v>56833.333333333336</v>
      </c>
      <c r="G3" s="81">
        <v>0</v>
      </c>
      <c r="H3" s="81">
        <f>Tabel1[[#This Row],[Majandamiskulu (KM-ga)]]/1.2</f>
        <v>0</v>
      </c>
      <c r="I3" s="81">
        <v>15200</v>
      </c>
    </row>
    <row r="4" spans="1:9" x14ac:dyDescent="0.35">
      <c r="A4">
        <v>3</v>
      </c>
      <c r="B4" s="68" t="s">
        <v>27</v>
      </c>
      <c r="C4" s="82" t="s">
        <v>281</v>
      </c>
      <c r="D4" s="80">
        <f t="shared" si="0"/>
        <v>267200</v>
      </c>
      <c r="E4" s="81">
        <v>240000</v>
      </c>
      <c r="F4" s="81">
        <f>Tabel1[[#This Row],[Investeering (KM-ga)]]/1.2</f>
        <v>200000</v>
      </c>
      <c r="G4" s="81">
        <v>12000</v>
      </c>
      <c r="H4" s="81">
        <f>Tabel1[[#This Row],[Majandamiskulu (KM-ga)]]/1.2</f>
        <v>10000</v>
      </c>
      <c r="I4" s="81">
        <v>15200</v>
      </c>
    </row>
    <row r="5" spans="1:9" x14ac:dyDescent="0.35">
      <c r="A5">
        <v>4</v>
      </c>
      <c r="B5" s="68" t="s">
        <v>27</v>
      </c>
      <c r="C5" s="82" t="s">
        <v>282</v>
      </c>
      <c r="D5" s="80">
        <f t="shared" si="0"/>
        <v>754800</v>
      </c>
      <c r="E5" s="81">
        <f>468000+60000</f>
        <v>528000</v>
      </c>
      <c r="F5" s="81">
        <f>Tabel1[[#This Row],[Investeering (KM-ga)]]/1.2</f>
        <v>440000</v>
      </c>
      <c r="G5" s="81">
        <f>216000+3600+7200</f>
        <v>226800</v>
      </c>
      <c r="H5" s="81">
        <f>Tabel1[[#This Row],[Majandamiskulu (KM-ga)]]/1.2</f>
        <v>189000</v>
      </c>
      <c r="I5" s="81">
        <v>0</v>
      </c>
    </row>
    <row r="6" spans="1:9" x14ac:dyDescent="0.35">
      <c r="A6">
        <v>5</v>
      </c>
      <c r="B6" s="68" t="s">
        <v>171</v>
      </c>
      <c r="C6" s="82" t="s">
        <v>283</v>
      </c>
      <c r="D6" s="80">
        <f t="shared" si="0"/>
        <v>327000</v>
      </c>
      <c r="E6" s="81">
        <v>75000</v>
      </c>
      <c r="F6" s="81">
        <f>Tabel1[[#This Row],[Investeering (KM-ga)]]/1.2</f>
        <v>62500</v>
      </c>
      <c r="G6" s="81">
        <v>192000</v>
      </c>
      <c r="H6" s="81">
        <f>Tabel1[[#This Row],[Majandamiskulu (KM-ga)]]/1.2</f>
        <v>160000</v>
      </c>
      <c r="I6" s="81">
        <v>60000</v>
      </c>
    </row>
    <row r="7" spans="1:9" x14ac:dyDescent="0.35">
      <c r="A7">
        <v>6</v>
      </c>
      <c r="B7" s="68" t="s">
        <v>171</v>
      </c>
      <c r="C7" s="82" t="s">
        <v>284</v>
      </c>
      <c r="D7" s="80">
        <f t="shared" si="0"/>
        <v>180600</v>
      </c>
      <c r="E7" s="81">
        <v>75000</v>
      </c>
      <c r="F7" s="81">
        <f>Tabel1[[#This Row],[Investeering (KM-ga)]]/1.2</f>
        <v>62500</v>
      </c>
      <c r="G7" s="81">
        <v>105600</v>
      </c>
      <c r="H7" s="81">
        <f>Tabel1[[#This Row],[Majandamiskulu (KM-ga)]]/1.2</f>
        <v>88000</v>
      </c>
      <c r="I7" s="81">
        <v>0</v>
      </c>
    </row>
    <row r="8" spans="1:9" x14ac:dyDescent="0.35">
      <c r="A8">
        <v>7</v>
      </c>
      <c r="B8" s="68" t="s">
        <v>171</v>
      </c>
      <c r="C8" s="82" t="s">
        <v>285</v>
      </c>
      <c r="D8" s="80">
        <f t="shared" si="0"/>
        <v>435000</v>
      </c>
      <c r="E8" s="81">
        <v>75000</v>
      </c>
      <c r="F8" s="81">
        <f>Tabel1[[#This Row],[Investeering (KM-ga)]]/1.2</f>
        <v>62500</v>
      </c>
      <c r="G8" s="81">
        <v>360000</v>
      </c>
      <c r="H8" s="81">
        <f>Tabel1[[#This Row],[Majandamiskulu (KM-ga)]]/1.2</f>
        <v>300000</v>
      </c>
      <c r="I8" s="81">
        <v>0</v>
      </c>
    </row>
    <row r="9" spans="1:9" x14ac:dyDescent="0.35">
      <c r="A9">
        <v>8</v>
      </c>
      <c r="B9" s="68" t="s">
        <v>171</v>
      </c>
      <c r="C9" s="82" t="s">
        <v>286</v>
      </c>
      <c r="D9" s="80">
        <f t="shared" si="0"/>
        <v>69000</v>
      </c>
      <c r="E9" s="81">
        <v>45000</v>
      </c>
      <c r="F9" s="81">
        <f>Tabel1[[#This Row],[Investeering (KM-ga)]]/1.2</f>
        <v>37500</v>
      </c>
      <c r="G9" s="81">
        <v>24000</v>
      </c>
      <c r="H9" s="81">
        <f>Tabel1[[#This Row],[Majandamiskulu (KM-ga)]]/1.2</f>
        <v>20000</v>
      </c>
      <c r="I9" s="81">
        <v>0</v>
      </c>
    </row>
    <row r="10" spans="1:9" x14ac:dyDescent="0.35">
      <c r="A10">
        <v>9</v>
      </c>
      <c r="B10" s="68" t="s">
        <v>171</v>
      </c>
      <c r="C10" s="82" t="s">
        <v>287</v>
      </c>
      <c r="D10" s="80">
        <f t="shared" si="0"/>
        <v>75000</v>
      </c>
      <c r="E10" s="81">
        <v>75000</v>
      </c>
      <c r="F10" s="81">
        <f>Tabel1[[#This Row],[Investeering (KM-ga)]]/1.2</f>
        <v>62500</v>
      </c>
      <c r="G10" s="81">
        <v>0</v>
      </c>
      <c r="H10" s="81">
        <f>Tabel1[[#This Row],[Majandamiskulu (KM-ga)]]/1.2</f>
        <v>0</v>
      </c>
      <c r="I10" s="81">
        <v>0</v>
      </c>
    </row>
    <row r="11" spans="1:9" x14ac:dyDescent="0.35">
      <c r="A11">
        <v>10</v>
      </c>
      <c r="B11" s="68" t="s">
        <v>27</v>
      </c>
      <c r="C11" s="82" t="s">
        <v>288</v>
      </c>
      <c r="D11" s="80">
        <f t="shared" si="0"/>
        <v>117500</v>
      </c>
      <c r="E11" s="81">
        <f>87500*1.2</f>
        <v>105000</v>
      </c>
      <c r="F11" s="81">
        <f>Tabel1[[#This Row],[Investeering (KM-ga)]]/1.2</f>
        <v>87500</v>
      </c>
      <c r="G11" s="81">
        <v>0</v>
      </c>
      <c r="H11" s="81">
        <f>Tabel1[[#This Row],[Majandamiskulu (KM-ga)]]/1.2</f>
        <v>0</v>
      </c>
      <c r="I11" s="81">
        <f>12500</f>
        <v>12500</v>
      </c>
    </row>
    <row r="12" spans="1:9" x14ac:dyDescent="0.35">
      <c r="A12">
        <v>11</v>
      </c>
      <c r="B12" s="68" t="s">
        <v>27</v>
      </c>
      <c r="C12" s="82" t="s">
        <v>289</v>
      </c>
      <c r="D12" s="80">
        <f t="shared" si="0"/>
        <v>210080</v>
      </c>
      <c r="E12" s="81">
        <f>158400*1.2</f>
        <v>190080</v>
      </c>
      <c r="F12" s="81">
        <f>Tabel1[[#This Row],[Investeering (KM-ga)]]/1.2</f>
        <v>158400</v>
      </c>
      <c r="G12" s="81">
        <v>0</v>
      </c>
      <c r="H12" s="81">
        <f>Tabel1[[#This Row],[Majandamiskulu (KM-ga)]]/1.2</f>
        <v>0</v>
      </c>
      <c r="I12" s="81">
        <v>20000</v>
      </c>
    </row>
    <row r="13" spans="1:9" x14ac:dyDescent="0.35">
      <c r="A13">
        <v>12</v>
      </c>
      <c r="B13" s="68" t="s">
        <v>27</v>
      </c>
      <c r="C13" s="82" t="s">
        <v>290</v>
      </c>
      <c r="D13" s="80">
        <f t="shared" si="0"/>
        <v>181800</v>
      </c>
      <c r="E13" s="81">
        <f>135000*1.2</f>
        <v>162000</v>
      </c>
      <c r="F13" s="81">
        <f>Tabel1[[#This Row],[Investeering (KM-ga)]]/1.2</f>
        <v>135000</v>
      </c>
      <c r="G13" s="81">
        <v>0</v>
      </c>
      <c r="H13" s="81">
        <f>Tabel1[[#This Row],[Majandamiskulu (KM-ga)]]/1.2</f>
        <v>0</v>
      </c>
      <c r="I13" s="81">
        <v>19800</v>
      </c>
    </row>
    <row r="14" spans="1:9" x14ac:dyDescent="0.35">
      <c r="A14">
        <v>13</v>
      </c>
      <c r="B14" s="68" t="s">
        <v>27</v>
      </c>
      <c r="C14" s="82" t="s">
        <v>291</v>
      </c>
      <c r="D14" s="80">
        <f t="shared" si="0"/>
        <v>960000</v>
      </c>
      <c r="E14" s="81">
        <f>750000*1.2</f>
        <v>900000</v>
      </c>
      <c r="F14" s="81">
        <f>Tabel1[[#This Row],[Investeering (KM-ga)]]/1.2</f>
        <v>750000</v>
      </c>
      <c r="G14" s="81">
        <f>50000*1.2</f>
        <v>60000</v>
      </c>
      <c r="H14" s="81">
        <f>Tabel1[[#This Row],[Majandamiskulu (KM-ga)]]/1.2</f>
        <v>50000</v>
      </c>
      <c r="I14" s="81">
        <v>0</v>
      </c>
    </row>
    <row r="15" spans="1:9" x14ac:dyDescent="0.35">
      <c r="A15">
        <v>14</v>
      </c>
      <c r="B15" s="68" t="s">
        <v>27</v>
      </c>
      <c r="C15" s="82" t="s">
        <v>292</v>
      </c>
      <c r="D15" s="80">
        <f>SUM(E15+G15+I15)</f>
        <v>45158</v>
      </c>
      <c r="E15" s="81">
        <v>0</v>
      </c>
      <c r="F15" s="81">
        <f>Tabel1[[#This Row],[Investeering (KM-ga)]]/1.2</f>
        <v>0</v>
      </c>
      <c r="G15" s="81">
        <v>0</v>
      </c>
      <c r="H15" s="81">
        <f>Tabel1[[#This Row],[Majandamiskulu (KM-ga)]]/1.2</f>
        <v>0</v>
      </c>
      <c r="I15" s="81">
        <v>45158</v>
      </c>
    </row>
    <row r="16" spans="1:9" x14ac:dyDescent="0.35">
      <c r="A16">
        <v>15</v>
      </c>
      <c r="B16" s="68" t="s">
        <v>255</v>
      </c>
      <c r="C16" s="82" t="s">
        <v>121</v>
      </c>
      <c r="D16" s="80">
        <f t="shared" si="0"/>
        <v>584842</v>
      </c>
      <c r="E16" s="81">
        <f>305000*1.2</f>
        <v>366000</v>
      </c>
      <c r="F16" s="81">
        <f>Tabel1[[#This Row],[Investeering (KM-ga)]]/1.2</f>
        <v>305000</v>
      </c>
      <c r="G16" s="81">
        <f>80000*1.2</f>
        <v>96000</v>
      </c>
      <c r="H16" s="81">
        <f>Tabel1[[#This Row],[Majandamiskulu (KM-ga)]]/1.2</f>
        <v>80000</v>
      </c>
      <c r="I16" s="81">
        <v>122842</v>
      </c>
    </row>
    <row r="17" spans="1:9" x14ac:dyDescent="0.35">
      <c r="A17">
        <v>16</v>
      </c>
      <c r="B17" s="68" t="s">
        <v>171</v>
      </c>
      <c r="C17" s="82" t="s">
        <v>192</v>
      </c>
      <c r="D17" s="80">
        <f t="shared" si="0"/>
        <v>1140850</v>
      </c>
      <c r="E17" s="81">
        <f>447000*1.2</f>
        <v>536400</v>
      </c>
      <c r="F17" s="81">
        <f>Tabel1[[#This Row],[Investeering (KM-ga)]]/1.2</f>
        <v>447000</v>
      </c>
      <c r="G17" s="81">
        <f>116875*1.2</f>
        <v>140250</v>
      </c>
      <c r="H17" s="81">
        <f>Tabel1[[#This Row],[Majandamiskulu (KM-ga)]]/1.2</f>
        <v>116875</v>
      </c>
      <c r="I17" s="81">
        <f>464200</f>
        <v>464200</v>
      </c>
    </row>
    <row r="18" spans="1:9" x14ac:dyDescent="0.35">
      <c r="A18">
        <v>17</v>
      </c>
      <c r="B18" s="68" t="s">
        <v>255</v>
      </c>
      <c r="C18" s="82" t="s">
        <v>97</v>
      </c>
      <c r="D18" s="80">
        <f t="shared" si="0"/>
        <v>736200</v>
      </c>
      <c r="E18" s="81">
        <f>613500*1.2</f>
        <v>736200</v>
      </c>
      <c r="F18" s="81">
        <f>Tabel1[[#This Row],[Investeering (KM-ga)]]/1.2</f>
        <v>613500</v>
      </c>
      <c r="G18" s="81">
        <v>0</v>
      </c>
      <c r="H18" s="81">
        <f>Tabel1[[#This Row],[Majandamiskulu (KM-ga)]]/1.2</f>
        <v>0</v>
      </c>
      <c r="I18" s="81">
        <v>0</v>
      </c>
    </row>
    <row r="19" spans="1:9" x14ac:dyDescent="0.35">
      <c r="A19">
        <v>18</v>
      </c>
      <c r="B19" s="68" t="s">
        <v>255</v>
      </c>
      <c r="C19" s="79" t="s">
        <v>293</v>
      </c>
      <c r="D19" s="80">
        <f t="shared" si="0"/>
        <v>90000</v>
      </c>
      <c r="E19" s="81">
        <v>0</v>
      </c>
      <c r="F19" s="81">
        <f>Tabel1[[#This Row],[Investeering (KM-ga)]]/1.2</f>
        <v>0</v>
      </c>
      <c r="G19" s="81">
        <v>90000</v>
      </c>
      <c r="H19" s="81">
        <f>Tabel1[[#This Row],[Majandamiskulu (KM-ga)]]/1.2</f>
        <v>75000</v>
      </c>
      <c r="I19" s="81">
        <v>0</v>
      </c>
    </row>
    <row r="20" spans="1:9" x14ac:dyDescent="0.35">
      <c r="A20">
        <v>19</v>
      </c>
      <c r="B20" s="68" t="s">
        <v>255</v>
      </c>
      <c r="C20" s="79" t="s">
        <v>294</v>
      </c>
      <c r="D20" s="80">
        <f t="shared" si="0"/>
        <v>30000</v>
      </c>
      <c r="E20" s="81">
        <v>0</v>
      </c>
      <c r="F20" s="81">
        <f>Tabel1[[#This Row],[Investeering (KM-ga)]]/1.2</f>
        <v>0</v>
      </c>
      <c r="G20" s="81">
        <v>30000</v>
      </c>
      <c r="H20" s="81">
        <f>Tabel1[[#This Row],[Majandamiskulu (KM-ga)]]/1.2</f>
        <v>25000</v>
      </c>
      <c r="I20" s="81">
        <v>0</v>
      </c>
    </row>
    <row r="21" spans="1:9" x14ac:dyDescent="0.35">
      <c r="A21">
        <v>20</v>
      </c>
      <c r="B21" s="68" t="s">
        <v>255</v>
      </c>
      <c r="C21" s="79" t="s">
        <v>29</v>
      </c>
      <c r="D21" s="80">
        <f t="shared" si="0"/>
        <v>90000</v>
      </c>
      <c r="E21" s="81">
        <f>75000*1.2</f>
        <v>90000</v>
      </c>
      <c r="F21" s="81">
        <f>Tabel1[[#This Row],[Investeering (KM-ga)]]/1.2</f>
        <v>75000</v>
      </c>
      <c r="G21" s="81">
        <v>0</v>
      </c>
      <c r="H21" s="81">
        <f>Tabel1[[#This Row],[Majandamiskulu (KM-ga)]]/1.2</f>
        <v>0</v>
      </c>
      <c r="I21" s="81">
        <v>0</v>
      </c>
    </row>
    <row r="22" spans="1:9" x14ac:dyDescent="0.35">
      <c r="A22">
        <v>21</v>
      </c>
      <c r="B22" s="68" t="s">
        <v>255</v>
      </c>
      <c r="C22" s="79" t="s">
        <v>295</v>
      </c>
      <c r="D22" s="80">
        <f t="shared" si="0"/>
        <v>186000</v>
      </c>
      <c r="E22" s="81">
        <v>0</v>
      </c>
      <c r="F22" s="81">
        <f>Tabel1[[#This Row],[Investeering (KM-ga)]]/1.2</f>
        <v>0</v>
      </c>
      <c r="G22" s="81">
        <f>155000*1.2</f>
        <v>186000</v>
      </c>
      <c r="H22" s="81">
        <f>Tabel1[[#This Row],[Majandamiskulu (KM-ga)]]/1.2</f>
        <v>155000</v>
      </c>
      <c r="I22" s="81">
        <v>0</v>
      </c>
    </row>
    <row r="23" spans="1:9" x14ac:dyDescent="0.35">
      <c r="A23">
        <v>22</v>
      </c>
      <c r="B23" s="68" t="s">
        <v>255</v>
      </c>
      <c r="C23" s="79" t="s">
        <v>76</v>
      </c>
      <c r="D23" s="80">
        <f t="shared" si="0"/>
        <v>198927.6</v>
      </c>
      <c r="E23" s="81">
        <v>0</v>
      </c>
      <c r="F23" s="81">
        <f>Tabel1[[#This Row],[Investeering (KM-ga)]]/1.2</f>
        <v>0</v>
      </c>
      <c r="G23" s="81">
        <f>122288*1.2</f>
        <v>146745.60000000001</v>
      </c>
      <c r="H23" s="81">
        <f>Tabel1[[#This Row],[Majandamiskulu (KM-ga)]]/1.2</f>
        <v>122288.00000000001</v>
      </c>
      <c r="I23" s="81">
        <v>52182</v>
      </c>
    </row>
    <row r="24" spans="1:9" x14ac:dyDescent="0.35">
      <c r="A24">
        <v>23</v>
      </c>
      <c r="B24" s="68" t="s">
        <v>27</v>
      </c>
      <c r="C24" s="82" t="s">
        <v>296</v>
      </c>
      <c r="D24" s="80">
        <f t="shared" si="0"/>
        <v>264000</v>
      </c>
      <c r="E24" s="81">
        <v>0</v>
      </c>
      <c r="F24" s="81">
        <f>Tabel1[[#This Row],[Investeering (KM-ga)]]/1.2</f>
        <v>0</v>
      </c>
      <c r="G24" s="81">
        <f>220000*1.2</f>
        <v>264000</v>
      </c>
      <c r="H24" s="81">
        <f>Tabel1[[#This Row],[Majandamiskulu (KM-ga)]]/1.2</f>
        <v>220000</v>
      </c>
      <c r="I24" s="81">
        <v>0</v>
      </c>
    </row>
    <row r="25" spans="1:9" x14ac:dyDescent="0.35">
      <c r="A25">
        <v>24</v>
      </c>
      <c r="B25" s="68" t="s">
        <v>27</v>
      </c>
      <c r="C25" s="82" t="s">
        <v>297</v>
      </c>
      <c r="D25" s="80">
        <f>SUM(E25+G25+I25)</f>
        <v>432000</v>
      </c>
      <c r="E25" s="81">
        <v>0</v>
      </c>
      <c r="F25" s="81">
        <f>Tabel1[[#This Row],[Investeering (KM-ga)]]/1.2</f>
        <v>0</v>
      </c>
      <c r="G25" s="81">
        <v>432000</v>
      </c>
      <c r="H25" s="81">
        <f>Tabel1[[#This Row],[Majandamiskulu (KM-ga)]]/1.2</f>
        <v>360000</v>
      </c>
      <c r="I25" s="81">
        <v>0</v>
      </c>
    </row>
    <row r="26" spans="1:9" x14ac:dyDescent="0.35">
      <c r="A26">
        <v>25</v>
      </c>
      <c r="B26" s="68" t="s">
        <v>27</v>
      </c>
      <c r="C26" s="82" t="s">
        <v>298</v>
      </c>
      <c r="D26" s="80">
        <f t="shared" si="0"/>
        <v>84000</v>
      </c>
      <c r="E26" s="81">
        <f>70000*1.2</f>
        <v>84000</v>
      </c>
      <c r="F26" s="81">
        <f>Tabel1[[#This Row],[Investeering (KM-ga)]]/1.2</f>
        <v>70000</v>
      </c>
      <c r="G26" s="81">
        <v>0</v>
      </c>
      <c r="H26" s="81">
        <f>Tabel1[[#This Row],[Majandamiskulu (KM-ga)]]/1.2</f>
        <v>0</v>
      </c>
      <c r="I26" s="81">
        <v>0</v>
      </c>
    </row>
    <row r="27" spans="1:9" x14ac:dyDescent="0.35">
      <c r="A27">
        <v>26</v>
      </c>
      <c r="B27" s="68" t="s">
        <v>27</v>
      </c>
      <c r="C27" s="82" t="s">
        <v>299</v>
      </c>
      <c r="D27" s="80">
        <f t="shared" si="0"/>
        <v>144000</v>
      </c>
      <c r="E27" s="81">
        <f>120000*1.2</f>
        <v>144000</v>
      </c>
      <c r="F27" s="81">
        <f>Tabel1[[#This Row],[Investeering (KM-ga)]]/1.2</f>
        <v>120000</v>
      </c>
      <c r="G27" s="81">
        <v>0</v>
      </c>
      <c r="H27" s="81">
        <f>Tabel1[[#This Row],[Majandamiskulu (KM-ga)]]/1.2</f>
        <v>0</v>
      </c>
      <c r="I27" s="81">
        <v>0</v>
      </c>
    </row>
    <row r="28" spans="1:9" x14ac:dyDescent="0.35">
      <c r="A28">
        <v>27</v>
      </c>
      <c r="B28" s="68" t="s">
        <v>27</v>
      </c>
      <c r="C28" s="30" t="s">
        <v>300</v>
      </c>
      <c r="D28" s="83">
        <f t="shared" si="0"/>
        <v>725268</v>
      </c>
      <c r="E28" s="84">
        <f>370000*1.2</f>
        <v>444000</v>
      </c>
      <c r="F28" s="84">
        <f>Tabel1[[#This Row],[Investeering (KM-ga)]]/1.2</f>
        <v>370000</v>
      </c>
      <c r="G28" s="84">
        <f>52500*1.2</f>
        <v>63000</v>
      </c>
      <c r="H28" s="84">
        <f>Tabel1[[#This Row],[Majandamiskulu (KM-ga)]]/1.2</f>
        <v>52500</v>
      </c>
      <c r="I28" s="84">
        <v>218268</v>
      </c>
    </row>
    <row r="29" spans="1:9" x14ac:dyDescent="0.35">
      <c r="A29">
        <v>28</v>
      </c>
      <c r="B29" s="68" t="s">
        <v>27</v>
      </c>
      <c r="C29" s="82" t="s">
        <v>301</v>
      </c>
      <c r="D29" s="80">
        <f t="shared" si="0"/>
        <v>63189</v>
      </c>
      <c r="E29" s="81">
        <v>0</v>
      </c>
      <c r="F29" s="81">
        <f>Tabel1[[#This Row],[Investeering (KM-ga)]]/1.2</f>
        <v>0</v>
      </c>
      <c r="G29" s="81">
        <f>7500*1.2</f>
        <v>9000</v>
      </c>
      <c r="H29" s="81">
        <f>Tabel1[[#This Row],[Majandamiskulu (KM-ga)]]/1.2</f>
        <v>7500</v>
      </c>
      <c r="I29" s="81">
        <v>54189</v>
      </c>
    </row>
    <row r="30" spans="1:9" x14ac:dyDescent="0.35">
      <c r="A30">
        <v>29</v>
      </c>
      <c r="B30" s="68" t="s">
        <v>255</v>
      </c>
      <c r="C30" s="82" t="s">
        <v>302</v>
      </c>
      <c r="D30" s="80">
        <f t="shared" si="0"/>
        <v>132000</v>
      </c>
      <c r="E30" s="81">
        <v>0</v>
      </c>
      <c r="F30" s="81">
        <f>Tabel1[[#This Row],[Investeering (KM-ga)]]/1.2</f>
        <v>0</v>
      </c>
      <c r="G30" s="81">
        <f>110000*1.2</f>
        <v>132000</v>
      </c>
      <c r="H30" s="81">
        <f>Tabel1[[#This Row],[Majandamiskulu (KM-ga)]]/1.2</f>
        <v>110000</v>
      </c>
      <c r="I30" s="81">
        <v>0</v>
      </c>
    </row>
    <row r="31" spans="1:9" x14ac:dyDescent="0.35">
      <c r="A31">
        <v>30</v>
      </c>
      <c r="B31" s="68" t="s">
        <v>255</v>
      </c>
      <c r="C31" s="82" t="s">
        <v>303</v>
      </c>
      <c r="D31" s="80">
        <f t="shared" si="0"/>
        <v>139680</v>
      </c>
      <c r="E31" s="81">
        <v>0</v>
      </c>
      <c r="F31" s="81">
        <f>Tabel1[[#This Row],[Investeering (KM-ga)]]/1.2</f>
        <v>0</v>
      </c>
      <c r="G31" s="81">
        <f>116400*1.2</f>
        <v>139680</v>
      </c>
      <c r="H31" s="81">
        <f>Tabel1[[#This Row],[Majandamiskulu (KM-ga)]]/1.2</f>
        <v>116400</v>
      </c>
      <c r="I31" s="81">
        <v>0</v>
      </c>
    </row>
    <row r="32" spans="1:9" x14ac:dyDescent="0.35">
      <c r="A32">
        <v>31</v>
      </c>
      <c r="B32" s="68" t="s">
        <v>255</v>
      </c>
      <c r="C32" s="82" t="s">
        <v>304</v>
      </c>
      <c r="D32" s="80">
        <f t="shared" si="0"/>
        <v>216000</v>
      </c>
      <c r="E32" s="81">
        <v>0</v>
      </c>
      <c r="F32" s="81">
        <f>Tabel1[[#This Row],[Investeering (KM-ga)]]/1.2</f>
        <v>0</v>
      </c>
      <c r="G32" s="81">
        <v>216000</v>
      </c>
      <c r="H32" s="81">
        <f>Tabel1[[#This Row],[Majandamiskulu (KM-ga)]]/1.2</f>
        <v>180000</v>
      </c>
      <c r="I32" s="81">
        <v>0</v>
      </c>
    </row>
    <row r="33" spans="1:9" x14ac:dyDescent="0.35">
      <c r="A33">
        <v>32</v>
      </c>
      <c r="B33" s="68" t="s">
        <v>27</v>
      </c>
      <c r="C33" s="82" t="s">
        <v>305</v>
      </c>
      <c r="D33" s="80">
        <f t="shared" si="0"/>
        <v>60000</v>
      </c>
      <c r="E33" s="81">
        <f>Tabel1[[#This Row],[Investeering (ilma KM)]]*1.2</f>
        <v>60000</v>
      </c>
      <c r="F33" s="81">
        <v>50000</v>
      </c>
      <c r="G33" s="81">
        <v>0</v>
      </c>
      <c r="H33" s="81">
        <f>Tabel1[[#This Row],[Majandamiskulu (KM-ga)]]/1.2</f>
        <v>0</v>
      </c>
      <c r="I33" s="81">
        <v>0</v>
      </c>
    </row>
    <row r="34" spans="1:9" x14ac:dyDescent="0.35">
      <c r="A34">
        <v>33</v>
      </c>
      <c r="B34" s="68" t="s">
        <v>27</v>
      </c>
      <c r="C34" s="82" t="s">
        <v>306</v>
      </c>
      <c r="D34" s="80">
        <f t="shared" si="0"/>
        <v>0</v>
      </c>
      <c r="E34" s="81">
        <f>Tabel1[[#This Row],[Investeering (ilma KM)]]*1.2</f>
        <v>0</v>
      </c>
      <c r="F34" s="81">
        <v>0</v>
      </c>
      <c r="G34" s="81">
        <v>0</v>
      </c>
      <c r="H34" s="81">
        <f>Tabel1[[#This Row],[Majandamiskulu (KM-ga)]]/1.2</f>
        <v>0</v>
      </c>
      <c r="I34" s="81">
        <v>0</v>
      </c>
    </row>
    <row r="35" spans="1:9" x14ac:dyDescent="0.35">
      <c r="A35">
        <v>34</v>
      </c>
      <c r="B35" s="68" t="s">
        <v>27</v>
      </c>
      <c r="C35" s="85" t="s">
        <v>307</v>
      </c>
      <c r="D35" s="80">
        <f t="shared" si="0"/>
        <v>90000</v>
      </c>
      <c r="E35" s="81">
        <f>Tabel1[[#This Row],[Investeering (ilma KM)]]*1.2</f>
        <v>0</v>
      </c>
      <c r="F35" s="81">
        <v>0</v>
      </c>
      <c r="G35" s="81">
        <f>Tabel1[[#This Row],[Majandamiskulu (ilma KM)]]*1.2</f>
        <v>90000</v>
      </c>
      <c r="H35" s="81">
        <v>75000</v>
      </c>
      <c r="I35" s="81">
        <v>0</v>
      </c>
    </row>
    <row r="36" spans="1:9" x14ac:dyDescent="0.35">
      <c r="A36">
        <v>35</v>
      </c>
      <c r="B36" s="68" t="s">
        <v>27</v>
      </c>
      <c r="C36" s="85" t="s">
        <v>308</v>
      </c>
      <c r="D36" s="80">
        <f t="shared" si="0"/>
        <v>42000</v>
      </c>
      <c r="E36" s="81">
        <f>Tabel1[[#This Row],[Investeering (ilma KM)]]*1.2</f>
        <v>42000</v>
      </c>
      <c r="F36" s="81">
        <v>35000</v>
      </c>
      <c r="G36" s="81">
        <v>0</v>
      </c>
      <c r="H36" s="81">
        <f>Tabel1[[#This Row],[Majandamiskulu (KM-ga)]]/1.2</f>
        <v>0</v>
      </c>
      <c r="I36" s="81">
        <v>0</v>
      </c>
    </row>
    <row r="37" spans="1:9" x14ac:dyDescent="0.35">
      <c r="A37" s="86"/>
      <c r="B37" s="86"/>
      <c r="C37" s="78" t="s">
        <v>197</v>
      </c>
      <c r="D37" s="87">
        <f>SUM(D2:D36)</f>
        <v>9290894.5999999996</v>
      </c>
      <c r="E37" s="87">
        <f t="shared" ref="E37:I37" si="1">SUM(E2:E36)</f>
        <v>5157280</v>
      </c>
      <c r="F37" s="87">
        <f t="shared" si="1"/>
        <v>4297733.333333334</v>
      </c>
      <c r="G37" s="87">
        <f t="shared" si="1"/>
        <v>3015075.6</v>
      </c>
      <c r="H37" s="87">
        <f t="shared" si="1"/>
        <v>2512563</v>
      </c>
      <c r="I37" s="87">
        <f t="shared" si="1"/>
        <v>1118539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6</vt:i4>
      </vt:variant>
    </vt:vector>
  </HeadingPairs>
  <TitlesOfParts>
    <vt:vector size="6" baseType="lpstr">
      <vt:lpstr>2026 KEHTIV</vt:lpstr>
      <vt:lpstr>2025 III KEHTIV</vt:lpstr>
      <vt:lpstr>2025 II</vt:lpstr>
      <vt:lpstr>2025 I</vt:lpstr>
      <vt:lpstr>2024</vt:lpstr>
      <vt:lpstr>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Helisalu - JUSTDIGI</dc:creator>
  <cp:lastModifiedBy>Annely Helisalu - JUSTDIGI</cp:lastModifiedBy>
  <dcterms:created xsi:type="dcterms:W3CDTF">2025-04-02T14:27:44Z</dcterms:created>
  <dcterms:modified xsi:type="dcterms:W3CDTF">2025-12-22T10:01:00Z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2025-04-02T14:37:46Z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53e4037a-4a1e-4da4-bd74-c9ba552bd31a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